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thore\Desktop\e-Filing (Apr-2020)\"/>
    </mc:Choice>
  </mc:AlternateContent>
  <bookViews>
    <workbookView xWindow="0" yWindow="0" windowWidth="19200" windowHeight="7905" firstSheet="4" activeTab="6"/>
  </bookViews>
  <sheets>
    <sheet name="Sheet1 (2)" sheetId="4" state="hidden" r:id="rId1"/>
    <sheet name="DU-7 (2)" sheetId="12" state="hidden" r:id="rId2"/>
    <sheet name="DU-5 (2)" sheetId="11" state="hidden" r:id="rId3"/>
    <sheet name="DU-3 (2)" sheetId="10" state="hidden" r:id="rId4"/>
    <sheet name="ITR-501" sheetId="25" r:id="rId5"/>
    <sheet name="ITR-502" sheetId="15" r:id="rId6"/>
    <sheet name="ITR-503" sheetId="21" r:id="rId7"/>
    <sheet name="DU-1 (2)" sheetId="9" state="hidden" r:id="rId8"/>
    <sheet name="DU-3-Ex" sheetId="14" state="hidden" r:id="rId9"/>
  </sheets>
  <externalReferences>
    <externalReference r:id="rId10"/>
  </externalReferences>
  <definedNames>
    <definedName name="newbasicPB4">[1]Sheet1!$T$4:$T$37</definedName>
    <definedName name="oldbasicPB4">[1]Sheet1!$S$4:$S$37</definedName>
    <definedName name="_xlnm.Print_Area" localSheetId="7">'DU-1 (2)'!$A$1:$F$117</definedName>
    <definedName name="_xlnm.Print_Area" localSheetId="3">'DU-3 (2)'!$A$1:$F$117</definedName>
    <definedName name="_xlnm.Print_Area" localSheetId="8">'DU-3-Ex'!$A$1:$F$116</definedName>
    <definedName name="_xlnm.Print_Area" localSheetId="2">'DU-5 (2)'!$A$1:$F$117</definedName>
    <definedName name="_xlnm.Print_Area" localSheetId="1">'DU-7 (2)'!$A$1:$F$117</definedName>
    <definedName name="_xlnm.Print_Area" localSheetId="4">'ITR-501'!$A$1:$G$102</definedName>
    <definedName name="_xlnm.Print_Area" localSheetId="5">'ITR-502'!$I$1:$M$57</definedName>
    <definedName name="_xlnm.Print_Area" localSheetId="6">'ITR-503'!$B$1:$G$108</definedName>
  </definedNames>
  <calcPr calcId="152511"/>
</workbook>
</file>

<file path=xl/calcChain.xml><?xml version="1.0" encoding="utf-8"?>
<calcChain xmlns="http://schemas.openxmlformats.org/spreadsheetml/2006/main">
  <c r="K26" i="21" l="1"/>
  <c r="M47" i="21" l="1"/>
  <c r="F44" i="21"/>
  <c r="F77" i="21"/>
  <c r="E63" i="21"/>
  <c r="G100" i="15" l="1"/>
  <c r="G99" i="15"/>
  <c r="G83" i="15"/>
  <c r="D68" i="21" l="1"/>
  <c r="D78" i="21"/>
  <c r="G42" i="21" l="1"/>
  <c r="G45" i="21"/>
  <c r="D66" i="21"/>
  <c r="G56" i="21"/>
  <c r="D65" i="21" s="1"/>
  <c r="G44" i="21"/>
  <c r="L11" i="21"/>
  <c r="E94" i="21"/>
  <c r="E23" i="21"/>
  <c r="G57" i="21" l="1"/>
  <c r="D59" i="21" s="1"/>
  <c r="G82" i="21"/>
  <c r="D72" i="21"/>
  <c r="E93" i="15"/>
  <c r="E94" i="15"/>
  <c r="G51" i="15" l="1"/>
  <c r="G52" i="15" s="1"/>
  <c r="G58" i="15"/>
  <c r="D66" i="15"/>
  <c r="D67" i="15" s="1"/>
  <c r="D63" i="15"/>
  <c r="E63" i="15"/>
  <c r="G38" i="15"/>
  <c r="D79" i="15" l="1"/>
  <c r="D57" i="15"/>
  <c r="D59" i="15" s="1"/>
  <c r="D58" i="15"/>
  <c r="G42" i="15"/>
  <c r="E23" i="15"/>
  <c r="L15" i="25" l="1"/>
  <c r="G59" i="25"/>
  <c r="G46" i="25"/>
  <c r="L11" i="25"/>
  <c r="G53" i="25"/>
  <c r="E65" i="25"/>
  <c r="D81" i="25"/>
  <c r="K25" i="21" l="1"/>
  <c r="M41" i="21" l="1"/>
  <c r="L47" i="21" s="1"/>
  <c r="G48" i="21" l="1"/>
  <c r="G38" i="21"/>
  <c r="F45" i="15" l="1"/>
  <c r="I15" i="15" s="1"/>
  <c r="B101" i="15" l="1"/>
  <c r="B100" i="15"/>
  <c r="B99" i="15"/>
  <c r="K27" i="25" l="1"/>
  <c r="G45" i="15" l="1"/>
  <c r="L15" i="15" s="1"/>
  <c r="G44" i="15"/>
  <c r="B98" i="25" l="1"/>
  <c r="B97" i="25"/>
  <c r="B96" i="25"/>
  <c r="E90" i="25"/>
  <c r="E91" i="25"/>
  <c r="F89" i="25"/>
  <c r="F90" i="25" s="1"/>
  <c r="K50" i="25" s="1"/>
  <c r="G88" i="25"/>
  <c r="G89" i="25" s="1"/>
  <c r="D78" i="25"/>
  <c r="D77" i="25"/>
  <c r="D71" i="25"/>
  <c r="D68" i="25"/>
  <c r="D76" i="25" s="1"/>
  <c r="G58" i="25"/>
  <c r="G85" i="25" s="1"/>
  <c r="D58" i="25"/>
  <c r="G49" i="25"/>
  <c r="M18" i="25" s="1"/>
  <c r="F46" i="25"/>
  <c r="G44" i="25"/>
  <c r="G45" i="25" s="1"/>
  <c r="L13" i="25" s="1"/>
  <c r="G43" i="25"/>
  <c r="L12" i="25" s="1"/>
  <c r="G42" i="25"/>
  <c r="M34" i="25"/>
  <c r="F39" i="25"/>
  <c r="G38" i="25"/>
  <c r="K9" i="25" s="1"/>
  <c r="G37" i="25"/>
  <c r="L6" i="25" s="1"/>
  <c r="K30" i="25"/>
  <c r="K25" i="25"/>
  <c r="E23" i="25"/>
  <c r="F20" i="25"/>
  <c r="G20" i="25" s="1"/>
  <c r="D98" i="25" s="1"/>
  <c r="E19" i="25"/>
  <c r="G19" i="25" s="1"/>
  <c r="K11" i="25"/>
  <c r="L5" i="25"/>
  <c r="B103" i="21"/>
  <c r="B102" i="21"/>
  <c r="B101" i="21"/>
  <c r="E95" i="21"/>
  <c r="F93" i="21"/>
  <c r="K62" i="21" s="1"/>
  <c r="G92" i="21"/>
  <c r="F85" i="21"/>
  <c r="D75" i="21"/>
  <c r="D74" i="21"/>
  <c r="D69" i="21"/>
  <c r="D73" i="21"/>
  <c r="D70" i="21"/>
  <c r="D71" i="21" s="1"/>
  <c r="D56" i="21"/>
  <c r="M39" i="21"/>
  <c r="F45" i="21"/>
  <c r="L13" i="21"/>
  <c r="K13" i="21"/>
  <c r="G43" i="21"/>
  <c r="L12" i="21" s="1"/>
  <c r="G37" i="21"/>
  <c r="L5" i="21" s="1"/>
  <c r="K34" i="21"/>
  <c r="K32" i="21"/>
  <c r="K29" i="21"/>
  <c r="F20" i="21"/>
  <c r="G20" i="21" s="1"/>
  <c r="D103" i="21" s="1"/>
  <c r="G19" i="21"/>
  <c r="F19" i="21"/>
  <c r="M18" i="21"/>
  <c r="K11" i="21"/>
  <c r="K8" i="21"/>
  <c r="L4" i="21"/>
  <c r="D57" i="21" l="1"/>
  <c r="D58" i="21" s="1"/>
  <c r="G84" i="21"/>
  <c r="K23" i="21" s="1"/>
  <c r="D102" i="21"/>
  <c r="D77" i="21" s="1"/>
  <c r="K30" i="21" s="1"/>
  <c r="D59" i="25"/>
  <c r="D60" i="25"/>
  <c r="D72" i="25"/>
  <c r="D82" i="25"/>
  <c r="L7" i="25"/>
  <c r="K8" i="25" s="1"/>
  <c r="L9" i="25" s="1"/>
  <c r="M9" i="25" s="1"/>
  <c r="G60" i="25"/>
  <c r="D57" i="25" s="1"/>
  <c r="D64" i="21"/>
  <c r="G86" i="21"/>
  <c r="L14" i="25"/>
  <c r="M15" i="25" s="1"/>
  <c r="L37" i="25" s="1"/>
  <c r="D75" i="25"/>
  <c r="D67" i="25"/>
  <c r="D73" i="25" s="1"/>
  <c r="D74" i="25" s="1"/>
  <c r="D61" i="25"/>
  <c r="D66" i="25" s="1"/>
  <c r="K52" i="25"/>
  <c r="G90" i="25"/>
  <c r="L50" i="25" s="1"/>
  <c r="G91" i="25"/>
  <c r="L51" i="25" s="1"/>
  <c r="L41" i="25"/>
  <c r="F19" i="25"/>
  <c r="D97" i="25"/>
  <c r="D80" i="25" s="1"/>
  <c r="F91" i="25"/>
  <c r="G101" i="21"/>
  <c r="L6" i="21"/>
  <c r="L14" i="21"/>
  <c r="G58" i="21"/>
  <c r="G62" i="21" s="1"/>
  <c r="D62" i="21" s="1"/>
  <c r="G93" i="21"/>
  <c r="F94" i="21"/>
  <c r="F95" i="21"/>
  <c r="K60" i="21" s="1"/>
  <c r="G87" i="21"/>
  <c r="G103" i="21" l="1"/>
  <c r="K24" i="21"/>
  <c r="D79" i="21"/>
  <c r="G95" i="25"/>
  <c r="G64" i="25"/>
  <c r="D64" i="25" s="1"/>
  <c r="K71" i="25"/>
  <c r="K73" i="25" s="1"/>
  <c r="J73" i="25" s="1"/>
  <c r="F96" i="21"/>
  <c r="M15" i="21"/>
  <c r="L45" i="21" s="1"/>
  <c r="D60" i="21"/>
  <c r="D67" i="21" s="1"/>
  <c r="D62" i="25"/>
  <c r="D69" i="25" s="1"/>
  <c r="L53" i="25"/>
  <c r="G92" i="25"/>
  <c r="K51" i="25"/>
  <c r="K53" i="25" s="1"/>
  <c r="F92" i="25"/>
  <c r="G98" i="25"/>
  <c r="G96" i="25"/>
  <c r="G99" i="25" s="1"/>
  <c r="G100" i="25" s="1"/>
  <c r="L53" i="21"/>
  <c r="M53" i="21" s="1"/>
  <c r="K61" i="21"/>
  <c r="D55" i="21"/>
  <c r="G100" i="21"/>
  <c r="G104" i="21" s="1"/>
  <c r="G105" i="21" s="1"/>
  <c r="G95" i="21"/>
  <c r="L60" i="21" s="1"/>
  <c r="G94" i="21"/>
  <c r="K7" i="21"/>
  <c r="L8" i="21" s="1"/>
  <c r="L9" i="21" s="1"/>
  <c r="D61" i="21" l="1"/>
  <c r="G63" i="21" s="1"/>
  <c r="G81" i="21" s="1"/>
  <c r="D63" i="25"/>
  <c r="G65" i="25" s="1"/>
  <c r="G84" i="25" s="1"/>
  <c r="J71" i="25"/>
  <c r="J72" i="25" s="1"/>
  <c r="K63" i="21"/>
  <c r="D63" i="21"/>
  <c r="M9" i="21"/>
  <c r="D65" i="25"/>
  <c r="G97" i="25"/>
  <c r="G101" i="25" s="1"/>
  <c r="D101" i="25" s="1"/>
  <c r="D99" i="25" s="1"/>
  <c r="D79" i="25"/>
  <c r="M53" i="25"/>
  <c r="K24" i="25"/>
  <c r="L61" i="21"/>
  <c r="L63" i="21" s="1"/>
  <c r="K28" i="21" s="1"/>
  <c r="G96" i="21"/>
  <c r="D80" i="21" l="1"/>
  <c r="D81" i="21"/>
  <c r="M63" i="21"/>
  <c r="D84" i="25"/>
  <c r="D70" i="25"/>
  <c r="K23" i="25"/>
  <c r="G102" i="21"/>
  <c r="G106" i="21" s="1"/>
  <c r="D106" i="21" s="1"/>
  <c r="D104" i="21" s="1"/>
  <c r="D76" i="21"/>
  <c r="K27" i="21" l="1"/>
  <c r="K22" i="21"/>
  <c r="K31" i="21" s="1"/>
  <c r="K33" i="21" s="1"/>
  <c r="K35" i="21" l="1"/>
  <c r="K36" i="21" s="1"/>
  <c r="L20" i="21"/>
  <c r="L21" i="21" l="1"/>
  <c r="M30" i="21" s="1"/>
  <c r="F78" i="21"/>
  <c r="M21" i="21" l="1"/>
  <c r="M38" i="21" s="1"/>
  <c r="M40" i="21" s="1"/>
  <c r="M42" i="21" s="1"/>
  <c r="L44" i="21" s="1"/>
  <c r="L46" i="21" s="1"/>
  <c r="L48" i="21" s="1"/>
  <c r="L50" i="21" s="1"/>
  <c r="M51" i="21" s="1"/>
  <c r="M56" i="21" s="1"/>
  <c r="K25" i="15"/>
  <c r="K32" i="15"/>
  <c r="L21" i="15" s="1"/>
  <c r="G57" i="15"/>
  <c r="G48" i="15"/>
  <c r="M18" i="15" s="1"/>
  <c r="F92" i="15"/>
  <c r="F93" i="15" s="1"/>
  <c r="G91" i="15"/>
  <c r="D76" i="15"/>
  <c r="G85" i="15" s="1"/>
  <c r="K23" i="15" s="1"/>
  <c r="D75" i="15"/>
  <c r="D69" i="15"/>
  <c r="D70" i="15" s="1"/>
  <c r="D74" i="15"/>
  <c r="L13" i="15"/>
  <c r="G43" i="15"/>
  <c r="L12" i="15" s="1"/>
  <c r="L11" i="15"/>
  <c r="M39" i="15"/>
  <c r="F39" i="15"/>
  <c r="K8" i="15"/>
  <c r="G37" i="15"/>
  <c r="L5" i="15" s="1"/>
  <c r="K34" i="15"/>
  <c r="K29" i="15"/>
  <c r="K26" i="15"/>
  <c r="D100" i="15"/>
  <c r="E19" i="15"/>
  <c r="G19" i="15" s="1"/>
  <c r="K11" i="15"/>
  <c r="L4" i="15"/>
  <c r="L46" i="15" s="1"/>
  <c r="G102" i="15" l="1"/>
  <c r="G103" i="15"/>
  <c r="G104" i="15" s="1"/>
  <c r="G59" i="15"/>
  <c r="M54" i="21"/>
  <c r="F19" i="15"/>
  <c r="K56" i="15"/>
  <c r="L6" i="15"/>
  <c r="F94" i="15"/>
  <c r="K54" i="15" s="1"/>
  <c r="L47" i="15"/>
  <c r="M47" i="15" s="1"/>
  <c r="G87" i="15"/>
  <c r="D80" i="15" s="1"/>
  <c r="L14" i="15"/>
  <c r="M15" i="15" s="1"/>
  <c r="L42" i="15" s="1"/>
  <c r="D101" i="15"/>
  <c r="D78" i="15" s="1"/>
  <c r="G92" i="15"/>
  <c r="D60" i="15"/>
  <c r="D65" i="15"/>
  <c r="D73" i="15"/>
  <c r="K55" i="15"/>
  <c r="E82" i="14"/>
  <c r="G98" i="15" l="1"/>
  <c r="D56" i="15"/>
  <c r="G62" i="15"/>
  <c r="D62" i="15" s="1"/>
  <c r="D61" i="15"/>
  <c r="G63" i="15" s="1"/>
  <c r="G82" i="15" s="1"/>
  <c r="D82" i="15" s="1"/>
  <c r="D64" i="15"/>
  <c r="K7" i="15"/>
  <c r="L8" i="15" s="1"/>
  <c r="M9" i="15" s="1"/>
  <c r="K24" i="15"/>
  <c r="K30" i="15"/>
  <c r="F95" i="15"/>
  <c r="K57" i="15"/>
  <c r="G94" i="15"/>
  <c r="L54" i="15" s="1"/>
  <c r="G93" i="15"/>
  <c r="D71" i="15"/>
  <c r="D72" i="15" s="1"/>
  <c r="C76" i="14"/>
  <c r="L55" i="15" l="1"/>
  <c r="L57" i="15" s="1"/>
  <c r="G95" i="15"/>
  <c r="A99" i="14"/>
  <c r="A98" i="14"/>
  <c r="A97" i="14"/>
  <c r="D91" i="14"/>
  <c r="D90" i="14"/>
  <c r="E89" i="14"/>
  <c r="F88" i="14"/>
  <c r="C73" i="14"/>
  <c r="F83" i="14" s="1"/>
  <c r="C72" i="14"/>
  <c r="C66" i="14"/>
  <c r="C67" i="14" s="1"/>
  <c r="C63" i="14"/>
  <c r="C71" i="14" s="1"/>
  <c r="F55" i="14"/>
  <c r="F57" i="14" s="1"/>
  <c r="F96" i="14" s="1"/>
  <c r="C55" i="14"/>
  <c r="C56" i="14" s="1"/>
  <c r="C57" i="14" s="1"/>
  <c r="F50" i="14"/>
  <c r="F51" i="14" s="1"/>
  <c r="J52" i="14" s="1"/>
  <c r="F47" i="14"/>
  <c r="K17" i="14" s="1"/>
  <c r="F44" i="14"/>
  <c r="D44" i="14"/>
  <c r="F43" i="14"/>
  <c r="J12" i="14" s="1"/>
  <c r="D43" i="14"/>
  <c r="I12" i="14" s="1"/>
  <c r="F42" i="14"/>
  <c r="F41" i="14"/>
  <c r="J10" i="14" s="1"/>
  <c r="K44" i="14"/>
  <c r="F37" i="14"/>
  <c r="I8" i="14" s="1"/>
  <c r="F36" i="14"/>
  <c r="I33" i="14"/>
  <c r="I30" i="14"/>
  <c r="J20" i="14" s="1"/>
  <c r="I27" i="14"/>
  <c r="I24" i="14"/>
  <c r="D22" i="14"/>
  <c r="E19" i="14"/>
  <c r="C98" i="14" s="1"/>
  <c r="F18" i="14"/>
  <c r="E18" i="14"/>
  <c r="J14" i="14"/>
  <c r="J11" i="14"/>
  <c r="I10" i="14"/>
  <c r="J5" i="14"/>
  <c r="J4" i="14"/>
  <c r="J51" i="14" s="1"/>
  <c r="K28" i="15" l="1"/>
  <c r="M57" i="15"/>
  <c r="D68" i="15"/>
  <c r="D81" i="15" s="1"/>
  <c r="D77" i="15"/>
  <c r="G101" i="15"/>
  <c r="G105" i="15" s="1"/>
  <c r="D105" i="15" s="1"/>
  <c r="D102" i="15" s="1"/>
  <c r="C70" i="14"/>
  <c r="F56" i="14"/>
  <c r="C58" i="14" s="1"/>
  <c r="J6" i="14"/>
  <c r="K52" i="14"/>
  <c r="C75" i="14"/>
  <c r="F79" i="14"/>
  <c r="C62" i="14"/>
  <c r="C68" i="14" s="1"/>
  <c r="C69" i="14" s="1"/>
  <c r="C79" i="14"/>
  <c r="J13" i="14"/>
  <c r="K14" i="14" s="1"/>
  <c r="J47" i="14" s="1"/>
  <c r="C59" i="14"/>
  <c r="C64" i="14" s="1"/>
  <c r="C61" i="14"/>
  <c r="I7" i="14"/>
  <c r="J8" i="14" s="1"/>
  <c r="K8" i="14" s="1"/>
  <c r="F99" i="14"/>
  <c r="F81" i="14"/>
  <c r="F84" i="14"/>
  <c r="F89" i="14"/>
  <c r="E91" i="14"/>
  <c r="I88" i="14" s="1"/>
  <c r="C54" i="14"/>
  <c r="E90" i="14"/>
  <c r="F19" i="14"/>
  <c r="C99" i="14" s="1"/>
  <c r="F97" i="14" s="1"/>
  <c r="F100" i="14" s="1"/>
  <c r="F101" i="14" s="1"/>
  <c r="K27" i="15" l="1"/>
  <c r="K22" i="15"/>
  <c r="E92" i="14"/>
  <c r="F91" i="14"/>
  <c r="J88" i="14" s="1"/>
  <c r="F90" i="14"/>
  <c r="J89" i="14" s="1"/>
  <c r="I90" i="14"/>
  <c r="I91" i="14" s="1"/>
  <c r="I89" i="14"/>
  <c r="I22" i="14"/>
  <c r="C77" i="14"/>
  <c r="C60" i="14"/>
  <c r="C65" i="14" s="1"/>
  <c r="A99" i="12"/>
  <c r="A98" i="12"/>
  <c r="A97" i="12"/>
  <c r="D91" i="12"/>
  <c r="D90" i="12"/>
  <c r="E89" i="12"/>
  <c r="F88" i="12"/>
  <c r="F89" i="12" s="1"/>
  <c r="F82" i="12"/>
  <c r="E82" i="12"/>
  <c r="C76" i="12"/>
  <c r="I30" i="12" s="1"/>
  <c r="C73" i="12"/>
  <c r="F81" i="12" s="1"/>
  <c r="C72" i="12"/>
  <c r="C67" i="12"/>
  <c r="C66" i="12"/>
  <c r="C63" i="12"/>
  <c r="C71" i="12" s="1"/>
  <c r="F55" i="12"/>
  <c r="F57" i="12" s="1"/>
  <c r="C55" i="12"/>
  <c r="C56" i="12" s="1"/>
  <c r="C57" i="12" s="1"/>
  <c r="F50" i="12"/>
  <c r="F47" i="12"/>
  <c r="J45" i="12"/>
  <c r="F44" i="12"/>
  <c r="D44" i="12"/>
  <c r="F43" i="12"/>
  <c r="D43" i="12"/>
  <c r="I12" i="12" s="1"/>
  <c r="F42" i="12"/>
  <c r="J11" i="12" s="1"/>
  <c r="F41" i="12"/>
  <c r="K38" i="12"/>
  <c r="F37" i="12"/>
  <c r="F36" i="12"/>
  <c r="J5" i="12" s="1"/>
  <c r="I33" i="12"/>
  <c r="I27" i="12"/>
  <c r="I24" i="12"/>
  <c r="I23" i="12"/>
  <c r="D22" i="12"/>
  <c r="E19" i="12"/>
  <c r="C98" i="12" s="1"/>
  <c r="D18" i="12"/>
  <c r="E18" i="12" s="1"/>
  <c r="K17" i="12"/>
  <c r="J14" i="12"/>
  <c r="J12" i="12"/>
  <c r="J10" i="12"/>
  <c r="I10" i="12"/>
  <c r="I8" i="12"/>
  <c r="J4" i="12"/>
  <c r="J6" i="12" s="1"/>
  <c r="A99" i="11"/>
  <c r="A98" i="11"/>
  <c r="A97" i="11"/>
  <c r="D91" i="11"/>
  <c r="D90" i="11"/>
  <c r="E89" i="11"/>
  <c r="F88" i="11"/>
  <c r="F82" i="11"/>
  <c r="E82" i="11"/>
  <c r="C76" i="11"/>
  <c r="C73" i="11"/>
  <c r="F81" i="11" s="1"/>
  <c r="C72" i="11"/>
  <c r="C67" i="11"/>
  <c r="C66" i="11"/>
  <c r="C63" i="11"/>
  <c r="C71" i="11" s="1"/>
  <c r="C62" i="11"/>
  <c r="C68" i="11" s="1"/>
  <c r="C69" i="11" s="1"/>
  <c r="F57" i="11"/>
  <c r="F96" i="11" s="1"/>
  <c r="F56" i="11"/>
  <c r="C58" i="11" s="1"/>
  <c r="F55" i="11"/>
  <c r="F79" i="11" s="1"/>
  <c r="C55" i="11"/>
  <c r="C56" i="11" s="1"/>
  <c r="C57" i="11" s="1"/>
  <c r="F51" i="11"/>
  <c r="F84" i="11" s="1"/>
  <c r="F50" i="11"/>
  <c r="F47" i="11"/>
  <c r="J45" i="11"/>
  <c r="F44" i="11"/>
  <c r="D44" i="11"/>
  <c r="F43" i="11"/>
  <c r="D43" i="11"/>
  <c r="I12" i="11" s="1"/>
  <c r="F42" i="11"/>
  <c r="J11" i="11" s="1"/>
  <c r="F41" i="11"/>
  <c r="J10" i="11" s="1"/>
  <c r="J13" i="11" s="1"/>
  <c r="K14" i="11" s="1"/>
  <c r="J41" i="11" s="1"/>
  <c r="K38" i="11"/>
  <c r="F37" i="11"/>
  <c r="F36" i="11"/>
  <c r="J5" i="11" s="1"/>
  <c r="J6" i="11" s="1"/>
  <c r="I33" i="11"/>
  <c r="I30" i="11"/>
  <c r="I27" i="11"/>
  <c r="I24" i="11"/>
  <c r="I23" i="11"/>
  <c r="D22" i="11"/>
  <c r="E19" i="11"/>
  <c r="C98" i="11" s="1"/>
  <c r="F18" i="11"/>
  <c r="E18" i="11"/>
  <c r="D18" i="11"/>
  <c r="K17" i="11"/>
  <c r="J14" i="11"/>
  <c r="J12" i="11"/>
  <c r="I10" i="11"/>
  <c r="I8" i="11"/>
  <c r="J4" i="11"/>
  <c r="A99" i="10"/>
  <c r="A98" i="10"/>
  <c r="A97" i="10"/>
  <c r="D91" i="10"/>
  <c r="D90" i="10"/>
  <c r="E89" i="10"/>
  <c r="F88" i="10"/>
  <c r="F89" i="10" s="1"/>
  <c r="F83" i="10"/>
  <c r="F82" i="10"/>
  <c r="E82" i="10"/>
  <c r="C76" i="10"/>
  <c r="C73" i="10"/>
  <c r="F81" i="10" s="1"/>
  <c r="C72" i="10"/>
  <c r="C67" i="10"/>
  <c r="C66" i="10"/>
  <c r="C63" i="10"/>
  <c r="C71" i="10" s="1"/>
  <c r="F55" i="10"/>
  <c r="F57" i="10" s="1"/>
  <c r="C55" i="10"/>
  <c r="C56" i="10" s="1"/>
  <c r="C57" i="10" s="1"/>
  <c r="F50" i="10"/>
  <c r="F47" i="10"/>
  <c r="J45" i="10"/>
  <c r="F44" i="10"/>
  <c r="D44" i="10"/>
  <c r="F43" i="10"/>
  <c r="D43" i="10"/>
  <c r="F42" i="10"/>
  <c r="J11" i="10" s="1"/>
  <c r="F41" i="10"/>
  <c r="K38" i="10"/>
  <c r="F37" i="10"/>
  <c r="F36" i="10"/>
  <c r="J5" i="10" s="1"/>
  <c r="I33" i="10"/>
  <c r="I30" i="10"/>
  <c r="I27" i="10"/>
  <c r="I24" i="10"/>
  <c r="I23" i="10"/>
  <c r="D22" i="10"/>
  <c r="E19" i="10"/>
  <c r="F19" i="10" s="1"/>
  <c r="C99" i="10" s="1"/>
  <c r="D18" i="10"/>
  <c r="E18" i="10" s="1"/>
  <c r="K17" i="10"/>
  <c r="J14" i="10"/>
  <c r="J12" i="10"/>
  <c r="I12" i="10"/>
  <c r="J10" i="10"/>
  <c r="J13" i="10" s="1"/>
  <c r="K14" i="10" s="1"/>
  <c r="J41" i="10" s="1"/>
  <c r="I10" i="10"/>
  <c r="I8" i="10"/>
  <c r="J4" i="10"/>
  <c r="J6" i="10" s="1"/>
  <c r="A99" i="9"/>
  <c r="A98" i="9"/>
  <c r="A97" i="9"/>
  <c r="D91" i="9"/>
  <c r="D90" i="9"/>
  <c r="E89" i="9"/>
  <c r="F88" i="9"/>
  <c r="F82" i="9"/>
  <c r="E82" i="9"/>
  <c r="C76" i="9"/>
  <c r="C73" i="9"/>
  <c r="F81" i="9" s="1"/>
  <c r="C72" i="9"/>
  <c r="C67" i="9"/>
  <c r="C66" i="9"/>
  <c r="C63" i="9"/>
  <c r="C71" i="9" s="1"/>
  <c r="F55" i="9"/>
  <c r="F57" i="9" s="1"/>
  <c r="C55" i="9"/>
  <c r="C56" i="9" s="1"/>
  <c r="C57" i="9" s="1"/>
  <c r="F50" i="9"/>
  <c r="F47" i="9"/>
  <c r="J45" i="9"/>
  <c r="F44" i="9"/>
  <c r="D44" i="9"/>
  <c r="F43" i="9"/>
  <c r="D43" i="9"/>
  <c r="F42" i="9"/>
  <c r="J11" i="9" s="1"/>
  <c r="F41" i="9"/>
  <c r="K38" i="9"/>
  <c r="F37" i="9"/>
  <c r="F36" i="9"/>
  <c r="J5" i="9" s="1"/>
  <c r="I33" i="9"/>
  <c r="I30" i="9"/>
  <c r="I27" i="9"/>
  <c r="I24" i="9"/>
  <c r="I23" i="9"/>
  <c r="D22" i="9"/>
  <c r="E19" i="9"/>
  <c r="C98" i="9" s="1"/>
  <c r="E18" i="9"/>
  <c r="D18" i="9"/>
  <c r="F18" i="9" s="1"/>
  <c r="K17" i="9"/>
  <c r="J14" i="9"/>
  <c r="J12" i="9"/>
  <c r="I12" i="9"/>
  <c r="J10" i="9"/>
  <c r="J13" i="9" s="1"/>
  <c r="K14" i="9" s="1"/>
  <c r="J41" i="9" s="1"/>
  <c r="I10" i="9"/>
  <c r="I8" i="9"/>
  <c r="J4" i="9"/>
  <c r="J6" i="9" s="1"/>
  <c r="K31" i="15" l="1"/>
  <c r="K33" i="15" s="1"/>
  <c r="K35" i="15" s="1"/>
  <c r="K36" i="15" s="1"/>
  <c r="J91" i="14"/>
  <c r="I26" i="14" s="1"/>
  <c r="F92" i="14"/>
  <c r="K8" i="12"/>
  <c r="I7" i="12"/>
  <c r="J8" i="12" s="1"/>
  <c r="F99" i="12"/>
  <c r="C75" i="12"/>
  <c r="I28" i="12" s="1"/>
  <c r="F97" i="12"/>
  <c r="F100" i="12" s="1"/>
  <c r="F101" i="12" s="1"/>
  <c r="F91" i="12"/>
  <c r="J88" i="12" s="1"/>
  <c r="J91" i="12" s="1"/>
  <c r="F90" i="12"/>
  <c r="J89" i="12" s="1"/>
  <c r="F84" i="12"/>
  <c r="C77" i="12" s="1"/>
  <c r="J13" i="12"/>
  <c r="K14" i="12" s="1"/>
  <c r="J41" i="12" s="1"/>
  <c r="K46" i="12"/>
  <c r="F96" i="12"/>
  <c r="C54" i="12"/>
  <c r="F18" i="12"/>
  <c r="F56" i="12"/>
  <c r="C58" i="12" s="1"/>
  <c r="C62" i="12"/>
  <c r="C70" i="12"/>
  <c r="E90" i="12"/>
  <c r="E91" i="12"/>
  <c r="I88" i="12" s="1"/>
  <c r="F19" i="12"/>
  <c r="C99" i="12" s="1"/>
  <c r="F51" i="12"/>
  <c r="J46" i="12" s="1"/>
  <c r="C61" i="11"/>
  <c r="C59" i="11"/>
  <c r="C64" i="11" s="1"/>
  <c r="C60" i="11"/>
  <c r="C65" i="11" s="1"/>
  <c r="I7" i="11"/>
  <c r="J8" i="11" s="1"/>
  <c r="K8" i="11" s="1"/>
  <c r="F99" i="11"/>
  <c r="C79" i="11"/>
  <c r="C77" i="11"/>
  <c r="I22" i="11"/>
  <c r="C54" i="11"/>
  <c r="C70" i="11"/>
  <c r="F89" i="11"/>
  <c r="E90" i="11"/>
  <c r="E91" i="11"/>
  <c r="I88" i="11" s="1"/>
  <c r="F19" i="11"/>
  <c r="C99" i="11" s="1"/>
  <c r="C75" i="11" s="1"/>
  <c r="I28" i="11" s="1"/>
  <c r="J46" i="11"/>
  <c r="K46" i="11" s="1"/>
  <c r="F83" i="11"/>
  <c r="F90" i="10"/>
  <c r="J89" i="10" s="1"/>
  <c r="F91" i="10"/>
  <c r="J88" i="10" s="1"/>
  <c r="J91" i="10" s="1"/>
  <c r="I7" i="10"/>
  <c r="J8" i="10" s="1"/>
  <c r="K8" i="10" s="1"/>
  <c r="F96" i="10"/>
  <c r="C54" i="10"/>
  <c r="F18" i="10"/>
  <c r="F56" i="10"/>
  <c r="C58" i="10" s="1"/>
  <c r="C62" i="10"/>
  <c r="C70" i="10"/>
  <c r="E90" i="10"/>
  <c r="E91" i="10"/>
  <c r="I88" i="10" s="1"/>
  <c r="F79" i="10"/>
  <c r="C98" i="10"/>
  <c r="F51" i="10"/>
  <c r="J46" i="10" s="1"/>
  <c r="K46" i="10" s="1"/>
  <c r="I7" i="9"/>
  <c r="J8" i="9" s="1"/>
  <c r="K8" i="9"/>
  <c r="F99" i="9"/>
  <c r="C75" i="9"/>
  <c r="I28" i="9" s="1"/>
  <c r="F97" i="9"/>
  <c r="F100" i="9" s="1"/>
  <c r="F101" i="9" s="1"/>
  <c r="F96" i="9"/>
  <c r="C54" i="9"/>
  <c r="F56" i="9"/>
  <c r="C58" i="9" s="1"/>
  <c r="C62" i="9"/>
  <c r="C70" i="9"/>
  <c r="F89" i="9"/>
  <c r="E90" i="9"/>
  <c r="E92" i="9" s="1"/>
  <c r="E91" i="9"/>
  <c r="I88" i="9" s="1"/>
  <c r="F19" i="9"/>
  <c r="C99" i="9" s="1"/>
  <c r="F51" i="9"/>
  <c r="J46" i="9" s="1"/>
  <c r="K46" i="9" s="1"/>
  <c r="L20" i="15" l="1"/>
  <c r="M21" i="15" s="1"/>
  <c r="M38" i="15" s="1"/>
  <c r="M40" i="15" s="1"/>
  <c r="L41" i="15" s="1"/>
  <c r="L43" i="15" s="1"/>
  <c r="L44" i="15" s="1"/>
  <c r="M45" i="15" s="1"/>
  <c r="M48" i="15" s="1"/>
  <c r="M50" i="15" s="1"/>
  <c r="F98" i="14"/>
  <c r="F102" i="14" s="1"/>
  <c r="C102" i="14" s="1"/>
  <c r="C100" i="14" s="1"/>
  <c r="C74" i="14"/>
  <c r="I90" i="12"/>
  <c r="I89" i="12"/>
  <c r="F79" i="12"/>
  <c r="F92" i="12"/>
  <c r="C65" i="12"/>
  <c r="C68" i="12"/>
  <c r="C69" i="12" s="1"/>
  <c r="E92" i="12"/>
  <c r="I22" i="12"/>
  <c r="I91" i="12"/>
  <c r="I26" i="12" s="1"/>
  <c r="C61" i="12"/>
  <c r="C60" i="12"/>
  <c r="F83" i="12" s="1"/>
  <c r="C59" i="12"/>
  <c r="C64" i="12" s="1"/>
  <c r="F91" i="11"/>
  <c r="J88" i="11" s="1"/>
  <c r="J91" i="11" s="1"/>
  <c r="F90" i="11"/>
  <c r="J89" i="11" s="1"/>
  <c r="I91" i="11"/>
  <c r="F97" i="11"/>
  <c r="I89" i="11"/>
  <c r="I90" i="11"/>
  <c r="E92" i="11"/>
  <c r="I90" i="10"/>
  <c r="I89" i="10"/>
  <c r="I91" i="10" s="1"/>
  <c r="I26" i="10" s="1"/>
  <c r="F99" i="10"/>
  <c r="F97" i="10"/>
  <c r="F100" i="10" s="1"/>
  <c r="F101" i="10" s="1"/>
  <c r="C75" i="10"/>
  <c r="I28" i="10" s="1"/>
  <c r="F92" i="10"/>
  <c r="C79" i="10"/>
  <c r="C68" i="10"/>
  <c r="C69" i="10" s="1"/>
  <c r="F84" i="10"/>
  <c r="C61" i="10"/>
  <c r="C59" i="10"/>
  <c r="C64" i="10" s="1"/>
  <c r="E92" i="10"/>
  <c r="F92" i="9"/>
  <c r="F98" i="9" s="1"/>
  <c r="F102" i="9" s="1"/>
  <c r="C102" i="9" s="1"/>
  <c r="C100" i="9" s="1"/>
  <c r="F91" i="9"/>
  <c r="J88" i="9" s="1"/>
  <c r="F90" i="9"/>
  <c r="J89" i="9" s="1"/>
  <c r="C68" i="9"/>
  <c r="C69" i="9" s="1"/>
  <c r="I90" i="9"/>
  <c r="I89" i="9"/>
  <c r="I91" i="9" s="1"/>
  <c r="C61" i="9"/>
  <c r="C59" i="9"/>
  <c r="C64" i="9" s="1"/>
  <c r="C60" i="9"/>
  <c r="F83" i="9" s="1"/>
  <c r="F84" i="9"/>
  <c r="F79" i="9"/>
  <c r="I25" i="14" l="1"/>
  <c r="C78" i="14"/>
  <c r="I21" i="14" s="1"/>
  <c r="I29" i="14" s="1"/>
  <c r="I31" i="14" s="1"/>
  <c r="F98" i="12"/>
  <c r="F102" i="12" s="1"/>
  <c r="C102" i="12" s="1"/>
  <c r="C100" i="12" s="1"/>
  <c r="C74" i="12"/>
  <c r="C78" i="12"/>
  <c r="I21" i="12" s="1"/>
  <c r="C79" i="12"/>
  <c r="F100" i="11"/>
  <c r="F101" i="11" s="1"/>
  <c r="I26" i="11"/>
  <c r="F92" i="11"/>
  <c r="F98" i="11" s="1"/>
  <c r="F102" i="11" s="1"/>
  <c r="C102" i="11" s="1"/>
  <c r="C100" i="11" s="1"/>
  <c r="F98" i="10"/>
  <c r="F102" i="10" s="1"/>
  <c r="C102" i="10" s="1"/>
  <c r="C100" i="10" s="1"/>
  <c r="C74" i="10"/>
  <c r="I25" i="10" s="1"/>
  <c r="C77" i="10"/>
  <c r="I22" i="10"/>
  <c r="C60" i="10"/>
  <c r="I26" i="9"/>
  <c r="C77" i="9"/>
  <c r="I22" i="9"/>
  <c r="C74" i="9"/>
  <c r="I25" i="9" s="1"/>
  <c r="C79" i="9"/>
  <c r="C65" i="9"/>
  <c r="C78" i="9" s="1"/>
  <c r="I21" i="9" s="1"/>
  <c r="I29" i="9" s="1"/>
  <c r="I31" i="9" s="1"/>
  <c r="J91" i="9"/>
  <c r="I34" i="14" l="1"/>
  <c r="I35" i="14" s="1"/>
  <c r="J19" i="14"/>
  <c r="K20" i="14" s="1"/>
  <c r="K43" i="14" s="1"/>
  <c r="K45" i="14" s="1"/>
  <c r="J46" i="14" s="1"/>
  <c r="J48" i="14" s="1"/>
  <c r="I25" i="12"/>
  <c r="I29" i="12" s="1"/>
  <c r="I31" i="12" s="1"/>
  <c r="I56" i="12"/>
  <c r="C74" i="11"/>
  <c r="C65" i="10"/>
  <c r="I56" i="10" s="1"/>
  <c r="C78" i="10"/>
  <c r="I21" i="10" s="1"/>
  <c r="I29" i="10" s="1"/>
  <c r="I31" i="10" s="1"/>
  <c r="I34" i="9"/>
  <c r="I35" i="9" s="1"/>
  <c r="J20" i="9" s="1"/>
  <c r="J19" i="9"/>
  <c r="K20" i="9" s="1"/>
  <c r="K37" i="9" s="1"/>
  <c r="K39" i="9" s="1"/>
  <c r="J40" i="9" s="1"/>
  <c r="J42" i="9" s="1"/>
  <c r="I56" i="9"/>
  <c r="J49" i="14" l="1"/>
  <c r="K50" i="14" s="1"/>
  <c r="K53" i="14" s="1"/>
  <c r="I34" i="12"/>
  <c r="I35" i="12" s="1"/>
  <c r="J20" i="12" s="1"/>
  <c r="J19" i="12"/>
  <c r="K20" i="12" s="1"/>
  <c r="K37" i="12" s="1"/>
  <c r="K39" i="12" s="1"/>
  <c r="J40" i="12" s="1"/>
  <c r="J42" i="12" s="1"/>
  <c r="I25" i="11"/>
  <c r="I56" i="11"/>
  <c r="C78" i="11"/>
  <c r="I21" i="11" s="1"/>
  <c r="I29" i="11" s="1"/>
  <c r="I31" i="11" s="1"/>
  <c r="I34" i="10"/>
  <c r="I35" i="10" s="1"/>
  <c r="J20" i="10" s="1"/>
  <c r="J19" i="10"/>
  <c r="K20" i="10" s="1"/>
  <c r="K37" i="10" s="1"/>
  <c r="K39" i="10" s="1"/>
  <c r="J40" i="10" s="1"/>
  <c r="J42" i="10" s="1"/>
  <c r="J43" i="9"/>
  <c r="K44" i="9"/>
  <c r="K47" i="9" s="1"/>
  <c r="J43" i="12" l="1"/>
  <c r="K44" i="12"/>
  <c r="K47" i="12" s="1"/>
  <c r="I34" i="11"/>
  <c r="I35" i="11" s="1"/>
  <c r="J20" i="11" s="1"/>
  <c r="J19" i="11"/>
  <c r="K20" i="11" s="1"/>
  <c r="K37" i="11" s="1"/>
  <c r="K39" i="11" s="1"/>
  <c r="J40" i="11" s="1"/>
  <c r="J42" i="11" s="1"/>
  <c r="J43" i="10"/>
  <c r="K44" i="10"/>
  <c r="K47" i="10" s="1"/>
  <c r="J43" i="11" l="1"/>
  <c r="K44" i="11"/>
  <c r="K47" i="11" s="1"/>
  <c r="D90" i="4" l="1"/>
  <c r="L42" i="25" l="1"/>
  <c r="M42" i="25" s="1"/>
  <c r="D83" i="25" l="1"/>
  <c r="K22" i="25" s="1"/>
  <c r="K26" i="25" l="1"/>
  <c r="K28" i="25" s="1"/>
  <c r="L20" i="25" l="1"/>
  <c r="M21" i="25" s="1"/>
  <c r="K31" i="25"/>
  <c r="K32" i="25" s="1"/>
  <c r="M33" i="25" l="1"/>
  <c r="M35" i="25" l="1"/>
  <c r="L36" i="25" s="1"/>
  <c r="L38" i="25" s="1"/>
  <c r="L39" i="25" s="1"/>
  <c r="M40" i="25" s="1"/>
  <c r="M43" i="25" s="1"/>
  <c r="M45" i="25" s="1"/>
</calcChain>
</file>

<file path=xl/sharedStrings.xml><?xml version="1.0" encoding="utf-8"?>
<sst xmlns="http://schemas.openxmlformats.org/spreadsheetml/2006/main" count="1825" uniqueCount="620">
  <si>
    <t>Generate income tax return in ITR-5 from the data given below (assuming that the assessee is not interested in availing of the benefit of section 44AD)</t>
  </si>
  <si>
    <t>Name</t>
  </si>
  <si>
    <t>Date of formation</t>
  </si>
  <si>
    <t>Address</t>
  </si>
  <si>
    <t>PAN</t>
  </si>
  <si>
    <t>Mobile No.</t>
  </si>
  <si>
    <t>Landline number</t>
  </si>
  <si>
    <t>011-22072939</t>
  </si>
  <si>
    <t>Radiance Tailor</t>
  </si>
  <si>
    <t>AAAFR5421H</t>
  </si>
  <si>
    <t>Residential Status</t>
  </si>
  <si>
    <t>Resident</t>
  </si>
  <si>
    <t>e-mail ID</t>
  </si>
  <si>
    <t>radiance@gmail.com</t>
  </si>
  <si>
    <t>Status</t>
  </si>
  <si>
    <t>Partnership firm(not being LLP)</t>
  </si>
  <si>
    <t>Return to be filed
 under which section</t>
  </si>
  <si>
    <t>139(1),origional return</t>
  </si>
  <si>
    <t>Whether liable to
 maintain accounts
under section 44AA</t>
  </si>
  <si>
    <t>Yes</t>
  </si>
  <si>
    <t>Whether liable for
 audit under section 44AB</t>
  </si>
  <si>
    <t>No</t>
  </si>
  <si>
    <t>Ward/Circle</t>
  </si>
  <si>
    <t>Ward 40(2)</t>
  </si>
  <si>
    <t>Partners information</t>
  </si>
  <si>
    <t>Name of partners</t>
  </si>
  <si>
    <t>Akshay Kumar</t>
  </si>
  <si>
    <t>Gurmeet Singh</t>
  </si>
  <si>
    <t>Sunil Tyagi</t>
  </si>
  <si>
    <t>Date of admission</t>
  </si>
  <si>
    <t>April 1,1970</t>
  </si>
  <si>
    <t>Percentage of Share</t>
  </si>
  <si>
    <t>572/A,Nehru Gali,Subhash Mohalla
,Gandhi Nagar Delhi 110032</t>
  </si>
  <si>
    <t>84-A, Gali Shatara,Chawari Bazar
,Delhi 110002</t>
  </si>
  <si>
    <t>45/9, Kucha Rehman,
Chandani Chowk Delhi 110006</t>
  </si>
  <si>
    <t>1125-A,Asaf Ali Road,Darya Ganj Delhi 110002</t>
  </si>
  <si>
    <t>AANPK5842G</t>
  </si>
  <si>
    <t>AASPS8752C</t>
  </si>
  <si>
    <t>AAXPT4521E</t>
  </si>
  <si>
    <t>Partner who will verify return</t>
  </si>
  <si>
    <t>Father's name of partner to verify return</t>
  </si>
  <si>
    <t>Manish Kumar</t>
  </si>
  <si>
    <t>No.of bank accounts held by firm at any time (including opened/closed)during the previous year</t>
  </si>
  <si>
    <t>Details of bank accounts</t>
  </si>
  <si>
    <t>Name of Bank</t>
  </si>
  <si>
    <t>Punjab National Bank</t>
  </si>
  <si>
    <t>SBI</t>
  </si>
  <si>
    <t>Account No.</t>
  </si>
  <si>
    <t>IFS Code</t>
  </si>
  <si>
    <t>PUNB0004525</t>
  </si>
  <si>
    <t>SBIN0004147</t>
  </si>
  <si>
    <t>Type of account</t>
  </si>
  <si>
    <t>Current</t>
  </si>
  <si>
    <t>Refund (if any)to be credited to
 which account</t>
  </si>
  <si>
    <t>↑</t>
  </si>
  <si>
    <t>Date of Filing</t>
  </si>
  <si>
    <t>Place of filing return</t>
  </si>
  <si>
    <t>New Delhi</t>
  </si>
  <si>
    <t xml:space="preserve">Income Details: </t>
  </si>
  <si>
    <t>Income From House Property</t>
  </si>
  <si>
    <t>Address of property: 15/25, Kamla market, New Delhi 110002,
 Fully owned by assessee, Name of the tenant: Harish technology Ltd,Kamla Market.</t>
  </si>
  <si>
    <t>Rent from tenant (Municipal value, fair rent,
 Standard rent is Lower than Rs 25,00,000)(Unrealised rent Rs 60,000,Vacancy:Nil)</t>
  </si>
  <si>
    <t>Municipal taxes paid by assessee during the previous year</t>
  </si>
  <si>
    <t>Interest on capital borrowed for purchase of property</t>
  </si>
  <si>
    <t>5,00,000</t>
  </si>
  <si>
    <t>Capital gains:</t>
  </si>
  <si>
    <t>Sale consideration of plot of land (date of transfer:10/10/2016</t>
  </si>
  <si>
    <t>Income From Manufacturing business
 (books of account maintained,profit and loss account and balance sheet given below)</t>
  </si>
  <si>
    <t>15,00,000</t>
  </si>
  <si>
    <t>Stamp duty value</t>
  </si>
  <si>
    <t>25,00,000</t>
  </si>
  <si>
    <t>Expenditure on transfer</t>
  </si>
  <si>
    <t>Cost of acquisition (Year of acquisition:1990-91)</t>
  </si>
  <si>
    <t>Amount deposited in Capital gain
 deposit account scheme with SBI on 20/04/2017</t>
  </si>
  <si>
    <t>6,00,000</t>
  </si>
  <si>
    <t>Purchase of REC bonds (date of purchase :20/12/2016)</t>
  </si>
  <si>
    <t>3,00,000</t>
  </si>
  <si>
    <t>Investment in NHAI on 21/12/2016</t>
  </si>
  <si>
    <t>2,00,000</t>
  </si>
  <si>
    <t>Income from other sources</t>
  </si>
  <si>
    <t>Purchase of shares in a non-listed company
 (market value: Rs 4,00,000,Purchase price:Rs2,00,000</t>
  </si>
  <si>
    <t>Interest on Saving</t>
  </si>
  <si>
    <t>Interest on Fixed Deposit</t>
  </si>
  <si>
    <t>Investment/Expenditure</t>
  </si>
  <si>
    <t>Donation to a political party (Included in other 
expenditure in profit and loss account given below)</t>
  </si>
  <si>
    <t>Donation to political party by cheque</t>
  </si>
  <si>
    <t>1,00,000</t>
  </si>
  <si>
    <t>Donation to Political party by cash</t>
  </si>
  <si>
    <t>Advance tax/self assessment tax paid by assessee</t>
  </si>
  <si>
    <t>Tax paid on 10/10/2016(BSR Code of bank:0008002,Challan No.:00025</t>
  </si>
  <si>
    <t>Tax paid on 31/03/2017(BSR Code of bank:0008002,Challan No.00028</t>
  </si>
  <si>
    <t xml:space="preserve">                                                                                                                                                                                     Profit and Loss Acoount for the year ending March 31, 2017</t>
  </si>
  <si>
    <t xml:space="preserve">                                                                                                                                                                                                           Trade Name:Radiance Tailor,Code:0124</t>
  </si>
  <si>
    <t>Rs.</t>
  </si>
  <si>
    <t>Onening stock(finished goods)</t>
  </si>
  <si>
    <t>Opening stock(raw material)</t>
  </si>
  <si>
    <t>Purchases (net of taxes)</t>
  </si>
  <si>
    <t>10,15,000</t>
  </si>
  <si>
    <t>Excise duty on goods purchased</t>
  </si>
  <si>
    <t>1,68,000</t>
  </si>
  <si>
    <t>VAT in respects of goods purchased</t>
  </si>
  <si>
    <t>2,89,000</t>
  </si>
  <si>
    <t>Freight</t>
  </si>
  <si>
    <t>Power and fuel</t>
  </si>
  <si>
    <t>Rent of office,godown and factory</t>
  </si>
  <si>
    <t>Repair (building)</t>
  </si>
  <si>
    <t>Repair (machinery)</t>
  </si>
  <si>
    <t>Salary to employees</t>
  </si>
  <si>
    <t>18,52,000</t>
  </si>
  <si>
    <t>General insurance</t>
  </si>
  <si>
    <t xml:space="preserve"> Entertainment</t>
  </si>
  <si>
    <t>Sales Promotion expenses</t>
  </si>
  <si>
    <t>Newspaper/magazin/internet advertisement</t>
  </si>
  <si>
    <t>3,52,000</t>
  </si>
  <si>
    <t>Commission</t>
  </si>
  <si>
    <t>Domestic travel</t>
  </si>
  <si>
    <t>Telephone/internet</t>
  </si>
  <si>
    <t>2,00,500</t>
  </si>
  <si>
    <t>Festival expenses</t>
  </si>
  <si>
    <t>Gift to distributors</t>
  </si>
  <si>
    <t>1,80,000</t>
  </si>
  <si>
    <t>Taxes/duties paid or payable</t>
  </si>
  <si>
    <t>Audit fees</t>
  </si>
  <si>
    <t>Depreciation</t>
  </si>
  <si>
    <t>Interest on capital to partners(@ 14%)</t>
  </si>
  <si>
    <t>Other expenses</t>
  </si>
  <si>
    <t>Net Profit</t>
  </si>
  <si>
    <t>Gross turnover</t>
  </si>
  <si>
    <t>Excice duty received/receivable in respect of goods sold</t>
  </si>
  <si>
    <t>VAT/CST in respect of goods sold</t>
  </si>
  <si>
    <t>Closing Stock(finished goods)</t>
  </si>
  <si>
    <t>Closing Stock(raw material)</t>
  </si>
  <si>
    <t>Remuneration to partners (Rs 5,00,000 per partner per month)</t>
  </si>
  <si>
    <t>1,80,00,000</t>
  </si>
  <si>
    <t>Other Information</t>
  </si>
  <si>
    <t>(1) Other expenses include a cash payment to a consultatn of Rs 30,000.</t>
  </si>
  <si>
    <t>(2) Gross receipts include income-tax refund of Rs 15,000</t>
  </si>
  <si>
    <t>Rs</t>
  </si>
  <si>
    <t>2,00,8,000</t>
  </si>
  <si>
    <t>15,50,000</t>
  </si>
  <si>
    <t>30,25,000</t>
  </si>
  <si>
    <t>1,75,000</t>
  </si>
  <si>
    <t>2,50,80,000</t>
  </si>
  <si>
    <t>(3) Tax is not deducted at source in respect of payment of rent of office.</t>
  </si>
  <si>
    <t>(4) Income tax paid as advance tax is included in other expenses.</t>
  </si>
  <si>
    <t>2,00,0000</t>
  </si>
  <si>
    <t>(5) During the year, the firm pays Rs.10,000 on account of central sales
 tax pertaining to the financial year 2009-10.It  was not allowed as deduction during the relevant year by applying the provisions of section 43B because of non payment.</t>
  </si>
  <si>
    <t>(6) Taxes/duties debited to profit and loss account includes a disputed
 excise duty of Rs.20,000 which is yet to be paid.</t>
  </si>
  <si>
    <t>(8) Following information is available pertaining to depreciation for income-tax purposes.</t>
  </si>
  <si>
    <t>Plant and Machinery</t>
  </si>
  <si>
    <t>Depreciated value on April 1, 2016</t>
  </si>
  <si>
    <t>8,90,000</t>
  </si>
  <si>
    <t>Add: Actual cost of assets acquired during the year
 (used for 180 days or more)</t>
  </si>
  <si>
    <t>Nil</t>
  </si>
  <si>
    <t>Add: Actual cost of assets acquired during the year (used less than 180 days)</t>
  </si>
  <si>
    <t>Less: Sale proceeds of assets sold during the year</t>
  </si>
  <si>
    <t>written down value on march 31,2016</t>
  </si>
  <si>
    <t>9,90,000</t>
  </si>
  <si>
    <t>(9) New machine of Rs 1,00,000 purchased during the year and shown in the
 table above is qualified for additional depreciation @ 10 per cent. Normal depreciation rate is 15 per cent.Additional depreciation is not available in respect of any other item purchased during the year.</t>
  </si>
  <si>
    <t xml:space="preserve">                                                                                                                                                                                                 Balance Sheet as on March 31,2017</t>
  </si>
  <si>
    <t>Capital account of</t>
  </si>
  <si>
    <t xml:space="preserve">                  Akshay Kumar</t>
  </si>
  <si>
    <t xml:space="preserve">                 Gurmeet Singh</t>
  </si>
  <si>
    <t xml:space="preserve">                Sunil Tyagi</t>
  </si>
  <si>
    <t>Closing Stock</t>
  </si>
  <si>
    <t>32,00,000</t>
  </si>
  <si>
    <t>Sundry debtors</t>
  </si>
  <si>
    <t>48,90,000</t>
  </si>
  <si>
    <t>Depreciable assets</t>
  </si>
  <si>
    <t>8,39,000</t>
  </si>
  <si>
    <t>Investment in Shares</t>
  </si>
  <si>
    <t>8,00,000</t>
  </si>
  <si>
    <t>Bank Balance</t>
  </si>
  <si>
    <t>40,15,000</t>
  </si>
  <si>
    <t>Cash balance</t>
  </si>
  <si>
    <t>12,90,000</t>
  </si>
  <si>
    <t>Sundry Creditors</t>
  </si>
  <si>
    <t>Partnership firm (not being LLP)</t>
  </si>
  <si>
    <t xml:space="preserve">Mohd Sajid </t>
  </si>
  <si>
    <t>Varun Panwar</t>
  </si>
  <si>
    <t>AANPS5842G</t>
  </si>
  <si>
    <t>AAXPP4521E</t>
  </si>
  <si>
    <t xml:space="preserve">Yes </t>
  </si>
  <si>
    <t>011-45023899</t>
  </si>
  <si>
    <t>rathore_incometax@yahoo.co.in</t>
  </si>
  <si>
    <t>Ward 25(4)</t>
  </si>
  <si>
    <t>45/9, Kucha Rehman, Chandni Chowk,  Delhi-110006</t>
  </si>
  <si>
    <t>84-A, Gali Shatara, Chawri Bazar, New Delhi-110002</t>
  </si>
  <si>
    <t>1125-A, Asaf Ali Road, Darya Ganj, New  Delhi-110002</t>
  </si>
  <si>
    <t>Interest on Fixed Deposits</t>
  </si>
  <si>
    <t xml:space="preserve">Rathore1 and Associates </t>
  </si>
  <si>
    <t>Rent received from Tenant</t>
  </si>
  <si>
    <t xml:space="preserve">Municipal taxes paid by the  Firm (Owner) during the previous year </t>
  </si>
  <si>
    <t>Donation to a Political party (Included in other expenses in P &amp; L A/c )</t>
  </si>
  <si>
    <t>Advance tax / Self assessment tax paid by the Firm</t>
  </si>
  <si>
    <t>Tax paid on 10-09-2015 (BSR Code of  SBI 0006623 ,Challan No.: 00001</t>
  </si>
  <si>
    <t>Tax paid on 31-03-2016 (BSR Code of  SBI 0006623 ,Challan No.: 00001</t>
  </si>
  <si>
    <t>No. of bank accounts held by firm  during the previous year</t>
  </si>
  <si>
    <t xml:space="preserve">Income / Expenditure / Investment Details: </t>
  </si>
  <si>
    <t>Gross Turnover</t>
  </si>
  <si>
    <t>Income from Trading  Business (Books of account maintained) Code No. 0204</t>
  </si>
  <si>
    <t xml:space="preserve">VAT/CST Received </t>
  </si>
  <si>
    <t>Opening stock</t>
  </si>
  <si>
    <t>Purchases</t>
  </si>
  <si>
    <t xml:space="preserve">Capital Gain </t>
  </si>
  <si>
    <t xml:space="preserve">Rent of office and Godown </t>
  </si>
  <si>
    <t xml:space="preserve">Repair (Building) </t>
  </si>
  <si>
    <t>Repair (Machinery)</t>
  </si>
  <si>
    <t xml:space="preserve">Newspaper/ Advertisement </t>
  </si>
  <si>
    <t>Domestic Travel</t>
  </si>
  <si>
    <t>(3) Tax is not deducted at source in respect of payment of rent of office and godown</t>
  </si>
  <si>
    <t>PUNB0466400</t>
  </si>
  <si>
    <t>SBIN0006623</t>
  </si>
  <si>
    <t>(5) During the year, the firm paid  on account of CST of  financial year 2009-10. It  was not allowed then as per u/s 43B on account of non payment.</t>
  </si>
  <si>
    <t>VAT/CST  in respects of goods</t>
  </si>
  <si>
    <t>Intt on capital to partners(@ 14%</t>
  </si>
  <si>
    <t>Remuneration to Partners (Rs 50,000 per partner per month)</t>
  </si>
  <si>
    <t xml:space="preserve">(6) Following information in regard  to depreciation on the Assets </t>
  </si>
  <si>
    <t xml:space="preserve">Computer </t>
  </si>
  <si>
    <t xml:space="preserve">Depreciated value </t>
  </si>
  <si>
    <t xml:space="preserve">Add: Actual cost of assets acquired </t>
  </si>
  <si>
    <t xml:space="preserve">Less: Sale proceeds of assets </t>
  </si>
  <si>
    <t xml:space="preserve">Written down value </t>
  </si>
  <si>
    <t>(7) New Plant &amp; Machinery (if any) purchased by 15-08-15  is qualified for additional depreciation @ 20% . This  additional depreciation is not available in respect of Computer.</t>
  </si>
  <si>
    <t>Exps Disallowed</t>
  </si>
  <si>
    <t xml:space="preserve">income Tax Refund </t>
  </si>
  <si>
    <t>BP-5c</t>
  </si>
  <si>
    <t>State Bank of India</t>
  </si>
  <si>
    <t>Refund (if any) to be credited</t>
  </si>
  <si>
    <t>Plant &amp; Machinery</t>
  </si>
  <si>
    <t>Balance Sheet as on 31-03-2016</t>
  </si>
  <si>
    <t>139(1), Original Return</t>
  </si>
  <si>
    <t>Profit and Loss Account for the year ending 31-03-2016</t>
  </si>
  <si>
    <t>Excise duty Received</t>
  </si>
  <si>
    <t>Partners' information</t>
  </si>
  <si>
    <t>Residential Address</t>
  </si>
  <si>
    <t xml:space="preserve">M.A. Ansari </t>
  </si>
  <si>
    <t>Father's Name of Partner to verify return</t>
  </si>
  <si>
    <t>Two</t>
  </si>
  <si>
    <t xml:space="preserve">Income from House Property </t>
  </si>
  <si>
    <t>Rent Received</t>
  </si>
  <si>
    <t xml:space="preserve">NAV </t>
  </si>
  <si>
    <t>GAV</t>
  </si>
  <si>
    <t xml:space="preserve">Less Intt on Loan </t>
  </si>
  <si>
    <t>Less Repairs</t>
  </si>
  <si>
    <t>Capital Gains</t>
  </si>
  <si>
    <t>Less Local Taxes paid</t>
  </si>
  <si>
    <t>Sale of Plot</t>
  </si>
  <si>
    <t xml:space="preserve">Sale of Plot of Land  </t>
  </si>
  <si>
    <t xml:space="preserve">Plot was purchased </t>
  </si>
  <si>
    <t xml:space="preserve">Investment in NHAI's Capital Gain Bonds </t>
  </si>
  <si>
    <t>Less Exp</t>
  </si>
  <si>
    <t>Acq Cost of Asset</t>
  </si>
  <si>
    <t>Less Exemption u/s 54EC</t>
  </si>
  <si>
    <t>Other Sources</t>
  </si>
  <si>
    <t xml:space="preserve">FDR Intt (Taxable) </t>
  </si>
  <si>
    <t xml:space="preserve">Birthday Gift to Sajid  (Partner's ITR) </t>
  </si>
  <si>
    <t xml:space="preserve">Income from Business / Profession </t>
  </si>
  <si>
    <t xml:space="preserve">CST  of Prev Years </t>
  </si>
  <si>
    <t xml:space="preserve">Depreciation  Added </t>
  </si>
  <si>
    <t>Dep Allowed</t>
  </si>
  <si>
    <t>Excess Intt on Cap</t>
  </si>
  <si>
    <t xml:space="preserve">Plant &amp; Mach </t>
  </si>
  <si>
    <t>Computer</t>
  </si>
  <si>
    <t xml:space="preserve">Dep  Full </t>
  </si>
  <si>
    <t xml:space="preserve">Dep  Half </t>
  </si>
  <si>
    <t>Add Dep 10%</t>
  </si>
  <si>
    <t xml:space="preserve">Donation Political </t>
  </si>
  <si>
    <t xml:space="preserve">(2) Gross Turnover  include Receipt of Income-tax  Refund  </t>
  </si>
  <si>
    <t>OI-30</t>
  </si>
  <si>
    <t>8A g</t>
  </si>
  <si>
    <t>7c</t>
  </si>
  <si>
    <t>NP as per P &amp; L A/c</t>
  </si>
  <si>
    <t xml:space="preserve">Adjusted profit </t>
  </si>
  <si>
    <t>Book profit</t>
  </si>
  <si>
    <t>Add Remu paid</t>
  </si>
  <si>
    <t xml:space="preserve">Sec 40(b) </t>
  </si>
  <si>
    <t xml:space="preserve">Remu Allowed </t>
  </si>
  <si>
    <t>Book  Profit as per P &amp; L A/c</t>
  </si>
  <si>
    <t>Partners' Remuneration Allowed as per 40(b) on Book Profit First Rs. 300000 (90% or 150000); Balance @  60%</t>
  </si>
  <si>
    <t>Gross Total Income</t>
  </si>
  <si>
    <t xml:space="preserve">Less 80GGC </t>
  </si>
  <si>
    <t xml:space="preserve">Normal Tax </t>
  </si>
  <si>
    <t xml:space="preserve">Spl Tax  (LTCG) </t>
  </si>
  <si>
    <t>Total Income Tax</t>
  </si>
  <si>
    <t xml:space="preserve">Add Edu Cess </t>
  </si>
  <si>
    <t>Tax Liability</t>
  </si>
  <si>
    <t>TDS by Tenant</t>
  </si>
  <si>
    <t xml:space="preserve">Adv Tax </t>
  </si>
  <si>
    <t xml:space="preserve">Balance Tax Payable </t>
  </si>
  <si>
    <t>Liable to maintain accounts u/s 44AA and  Audit u/s 44AB</t>
  </si>
  <si>
    <t>Address of property: 15/25, Kamla Nagar, Delhi-110007. Fully owned by the Firm, Name of the Tenant: Harish Technology Ltd,  Kamla Nagar. Delhi-110007;  PAN:  AHECH3899K</t>
  </si>
  <si>
    <t>Return to be filed under which section</t>
  </si>
  <si>
    <t>25, Saakshara,  A-3, Paschim Vihar, New Delhi-110063</t>
  </si>
  <si>
    <t>SLC  B.Com.(H) II Yr, Sem-IV:  Exam on Wed 26-04-17 (SEC BCH 4.5c  E-Filing of Returns)</t>
  </si>
  <si>
    <t>DU-1/2017:  Generate income Tax Return for AY 2016-17 in ITR-5 from the data given below</t>
  </si>
  <si>
    <t>Tax deducted by the Tenant (DELH16835A) as per section 194I</t>
  </si>
  <si>
    <t>Contd Pg 3</t>
  </si>
  <si>
    <t>Contd Pg 4</t>
  </si>
  <si>
    <t xml:space="preserve">Space for Calculations, etc </t>
  </si>
  <si>
    <t xml:space="preserve">No Extra Paper allowed </t>
  </si>
  <si>
    <t>Question on e-TDS on Pages 5 and 6</t>
  </si>
  <si>
    <t>DU-3/2017:  Generate income Tax Return for AY 2016-17 in ITR-5 from the data given below</t>
  </si>
  <si>
    <t xml:space="preserve">Rathore2 and Associates </t>
  </si>
  <si>
    <t>AAAFR1835H</t>
  </si>
  <si>
    <t>AAAFR2835H</t>
  </si>
  <si>
    <t>Monika Rani</t>
  </si>
  <si>
    <t>AASPR8752C</t>
  </si>
  <si>
    <t xml:space="preserve">Monu </t>
  </si>
  <si>
    <t>AAXPM4521E</t>
  </si>
  <si>
    <t>SBIN0001704</t>
  </si>
  <si>
    <t>Birthday Gift to Monu (Partner) from his Finlandi Father</t>
  </si>
  <si>
    <t>(3) Tax is not deducted at source in respect of Audit Fees</t>
  </si>
  <si>
    <t>Tax paid on 10-09-2015 (BSR Code of  SBI 0001704 ,Challan No.: 00001</t>
  </si>
  <si>
    <t>Tax paid on 31-03-2016 (BSR Code of  SBI 0001704 ,Challan No.: 00001</t>
  </si>
  <si>
    <t>Tax paid on 09-09-2015 (BSR Code of  SBI 0001704 ,Challan No.: 00001</t>
  </si>
  <si>
    <t>Tax paid on 30-03-2016 (BSR Code of  SBI 0001704 ,Challan No.: 00001</t>
  </si>
  <si>
    <t xml:space="preserve">Balance @ 60% </t>
  </si>
  <si>
    <t>First  Rs. 300000</t>
  </si>
  <si>
    <t>DU-5/2017:  Generate income Tax Return for AY 2016-17 in ITR-5 from the data given below</t>
  </si>
  <si>
    <t xml:space="preserve">Rathore3 and Associates </t>
  </si>
  <si>
    <t>AAAFR3835H</t>
  </si>
  <si>
    <t xml:space="preserve">Hari Ram </t>
  </si>
  <si>
    <t>84-A, Gali Shobha, Chalega Bazar, New Delhi-110002</t>
  </si>
  <si>
    <t>44/9, Chalta Chowk,  Delhi-110006</t>
  </si>
  <si>
    <t>D-4/16,  Andheri Gali, Darya Ganj, New  Delhi-110002</t>
  </si>
  <si>
    <t>HDFC Bank Limited</t>
  </si>
  <si>
    <t>HDFC0000091</t>
  </si>
  <si>
    <t xml:space="preserve">Sale of Plot </t>
  </si>
  <si>
    <t xml:space="preserve">Investment in REC's Capital Gain Bonds </t>
  </si>
  <si>
    <t>Income from Lottery to Hari Ram (Partner)</t>
  </si>
  <si>
    <t>Remuneration to Partners (Rs 60,000 per partner per month)</t>
  </si>
  <si>
    <t>(1) Other expenses include a cash payment to a consultant (submitted Form 13)</t>
  </si>
  <si>
    <t>(1) Other expenses include a cash payment to a supplier</t>
  </si>
  <si>
    <t>Nutan Garg</t>
  </si>
  <si>
    <t xml:space="preserve">Birthday Gift to Monu  (Partner's ITR) </t>
  </si>
  <si>
    <t xml:space="preserve">Income from  Lottery to Hari  (Partner's ITR) </t>
  </si>
  <si>
    <t>Audit u/s 44AB done on 10 days prior to ITR submission</t>
  </si>
  <si>
    <t xml:space="preserve">Rathore4 and Associates </t>
  </si>
  <si>
    <t>DU-4/2017:  Generate income Tax Return for AY 2016-17 in ITR-5 from the data given below</t>
  </si>
  <si>
    <t>SLC- Bcom(H) II Yr, Sem-IV:  Exam on Thursday, 27-04-17 (SEC BCH 4.5c  E-Filing of Returns)</t>
  </si>
  <si>
    <t>AAAFR4835H</t>
  </si>
  <si>
    <t xml:space="preserve">Birthday Gift to Sajid (Partner) from his Friend's  Mother </t>
  </si>
  <si>
    <t>(5) During the year, the firm paid  on account of CST of  inancial year 2007-08. It  was not allowed then as per u/s 43B on account of non payment.</t>
  </si>
  <si>
    <t>(5) During the year, the firm paid  on account of CST of  financial year 2011-12. It  was not allowed then as per u/s 43B on account of non payment.</t>
  </si>
  <si>
    <t>(5) During the year, the firm paid  on account of CST of  financial year 2010-11. It  was not allowed then as per u/s 43B on account of non payment.</t>
  </si>
  <si>
    <t>CA Kapil Singhania,  PAN-AAAPS8160R; Membership No 098100</t>
  </si>
  <si>
    <t xml:space="preserve">Birthday Gift to Sajid (Partner) from Varun (Partner) </t>
  </si>
  <si>
    <t>AANPS5841G</t>
  </si>
  <si>
    <t>AASPG8252C</t>
  </si>
  <si>
    <t>AAXPR4521E</t>
  </si>
  <si>
    <t>AAXPP4525E</t>
  </si>
  <si>
    <t>AASPS8152C</t>
  </si>
  <si>
    <t>E-TDS Question on Pages 5 and 6</t>
  </si>
  <si>
    <t>Intt on capital to partners(@ 10%</t>
  </si>
  <si>
    <t>Remuneration to Partners (Rs 25000 per partner per month)</t>
  </si>
  <si>
    <t>Sunita Kaistha</t>
  </si>
  <si>
    <t>Rewa Arora</t>
  </si>
  <si>
    <t>Laxmi Rai</t>
  </si>
  <si>
    <t>R-44,  Greater Kailash-I, New Delhi-110048</t>
  </si>
  <si>
    <t>876, Lodhi Road, New Delhi-110003</t>
  </si>
  <si>
    <t>A-3, Panchsheel Enclave, New Delhi-110017</t>
  </si>
  <si>
    <t>sunitakaistha@gmail.com</t>
  </si>
  <si>
    <t>S B Rathore,      PAN-AAAPR6835H;    Membership No 981111</t>
  </si>
  <si>
    <t>JMC  B.Com.(H) II Yr, Sem-IV:  Exam on Thursday, 11-05-17 (SEC BCH 4.5c  E-Filing of Returns)</t>
  </si>
  <si>
    <t>JMC-1/2017:  Generate income Tax Return for AY 2016-17 in ITR-5 from the data given below</t>
  </si>
  <si>
    <t>Ward 23(1)</t>
  </si>
  <si>
    <t>AASPA8752C</t>
  </si>
  <si>
    <t>Audit u/s 44AB done on 15-09-16</t>
  </si>
  <si>
    <t>Birthday Gift to Sunita (Partner) from her Husband's Father</t>
  </si>
  <si>
    <t xml:space="preserve">Birthday Gift to Sunita (Partner's ITR-Not Applicable) </t>
  </si>
  <si>
    <t xml:space="preserve">Partners' Remuneration Allowed as per 40(b) on Book Profit First Rs. 300000 (90% or 150000); Balance @  60%...s t max paid 9 Lakhs </t>
  </si>
  <si>
    <t>AAAFF3899H</t>
  </si>
  <si>
    <t xml:space="preserve">Depreciated value as on </t>
  </si>
  <si>
    <t>Findia and Associates</t>
  </si>
  <si>
    <t>(1) Other expenses include a cash payment to a consultant</t>
  </si>
  <si>
    <t>(2) Tax is not deducted at source in respect of Audit Fees</t>
  </si>
  <si>
    <t>(3) Income tax paid as advance tax is included in other expenses.</t>
  </si>
  <si>
    <t>(4) During the year, the firm paid  on account of CST of  financial year 2010-11. It  was not allowed then as per u/s 43B on account of non payment.</t>
  </si>
  <si>
    <t xml:space="preserve">(5) Following information in regard  to depreciation on the Assets </t>
  </si>
  <si>
    <t xml:space="preserve">(6) New Plant &amp; Machinery  purchased on 26-04-15  is qualified for additional depreciation @ 20% . Additional depreciation not available in respect of Computer / Other Assets. </t>
  </si>
  <si>
    <t>I S Saxena</t>
  </si>
  <si>
    <t xml:space="preserve">Rathore and Associates </t>
  </si>
  <si>
    <t xml:space="preserve">Add: Original  cost of assets acquired </t>
  </si>
  <si>
    <t xml:space="preserve">Add: Original cost of assets acquired </t>
  </si>
  <si>
    <t>(2) Other expenses  include Excessive payment to a Relative of a Partner</t>
  </si>
  <si>
    <t>OI-9a</t>
  </si>
  <si>
    <t xml:space="preserve">Excessive Payment </t>
  </si>
  <si>
    <t>Add Dep 20%</t>
  </si>
  <si>
    <t>.</t>
  </si>
  <si>
    <t>FMV as on 01-04-01</t>
  </si>
  <si>
    <t xml:space="preserve">IGST Received </t>
  </si>
  <si>
    <t>25, Saakshara, A-3, Paschim Vihar, New Delhi-110063</t>
  </si>
  <si>
    <t>FMV of the Plot as on 01-04-01</t>
  </si>
  <si>
    <t>CII (FY 2001-02) 100</t>
  </si>
  <si>
    <t>Plot was purchased during FY 1989-90</t>
  </si>
  <si>
    <t>IGST in respects of goods</t>
  </si>
  <si>
    <t>Power and Fuel</t>
  </si>
  <si>
    <t>A-25, Panchsheel Enclave, New Delhi-110017</t>
  </si>
  <si>
    <t>CII (FY 13-14)  220</t>
  </si>
  <si>
    <t>2493, Gali Pyare Mohan, Chawri Bazar, Delhi-110006</t>
  </si>
  <si>
    <t>425, Asaf Ali Road, Darya Ganj, New  Delhi-110002</t>
  </si>
  <si>
    <t>(7) New Plant &amp; Machinery purchased during the year - qualified for additional depreciation. This  additional depreciation is not available in respect of Computer.</t>
  </si>
  <si>
    <t xml:space="preserve">Excise  of Prev Years </t>
  </si>
  <si>
    <t>O-512, West Patel Nagar, New Delhi-110008</t>
  </si>
  <si>
    <t>Interest on capital borrowed for Purchase of property</t>
  </si>
  <si>
    <t>AAAFR6835H</t>
  </si>
  <si>
    <r>
      <t xml:space="preserve">Compiled by   </t>
    </r>
    <r>
      <rPr>
        <sz val="11"/>
        <color rgb="FFC00000"/>
        <rFont val="Arial"/>
        <family val="2"/>
      </rPr>
      <t>Dr SB Rathore</t>
    </r>
    <r>
      <rPr>
        <sz val="11"/>
        <rFont val="Arial"/>
        <family val="2"/>
      </rPr>
      <t xml:space="preserve">    9811116835  </t>
    </r>
    <r>
      <rPr>
        <i/>
        <sz val="11"/>
        <color rgb="FF081DB8"/>
        <rFont val="Arial"/>
        <family val="2"/>
      </rPr>
      <t>rathore_incometax@yahoo.co.in</t>
    </r>
    <r>
      <rPr>
        <sz val="11"/>
        <rFont val="Arial"/>
        <family val="2"/>
      </rPr>
      <t xml:space="preserve"> </t>
    </r>
    <r>
      <rPr>
        <sz val="11"/>
        <color rgb="FF7030A0"/>
        <rFont val="Arial"/>
        <family val="2"/>
      </rPr>
      <t xml:space="preserve">  www.taxclasses.in</t>
    </r>
  </si>
  <si>
    <t xml:space="preserve">Late Fees u/s 234F </t>
  </si>
  <si>
    <t>Total Income</t>
  </si>
  <si>
    <t>BP-11</t>
  </si>
  <si>
    <t>BP-12(i)</t>
  </si>
  <si>
    <t>OI-9b</t>
  </si>
  <si>
    <t>OI-8Ae</t>
  </si>
  <si>
    <t>OI-7c</t>
  </si>
  <si>
    <t>OI-8Ah</t>
  </si>
  <si>
    <t>Auto BP-15</t>
  </si>
  <si>
    <t xml:space="preserve">Total Tax Payable </t>
  </si>
  <si>
    <t>8Ah</t>
  </si>
  <si>
    <t>Remuneration to Partners</t>
  </si>
  <si>
    <t>Intt on Capital to Partners</t>
  </si>
  <si>
    <t xml:space="preserve">Manually- OI at S.No. 8A (h) u/s 40(b) </t>
  </si>
  <si>
    <t xml:space="preserve"> Self-Calculation </t>
  </si>
  <si>
    <t xml:space="preserve">Excess Intt on Capital </t>
  </si>
  <si>
    <t xml:space="preserve">Excess - Partners' Remuneration </t>
  </si>
  <si>
    <t xml:space="preserve">Special Tax  (LTCG) </t>
  </si>
  <si>
    <t>Auto from P &amp; L</t>
  </si>
  <si>
    <t xml:space="preserve">Auto from DEP </t>
  </si>
  <si>
    <t>Remu Allowed u/s 40(b)</t>
  </si>
  <si>
    <t>Rounded by 10</t>
  </si>
  <si>
    <t xml:space="preserve">Advance  Tax </t>
  </si>
  <si>
    <t xml:space="preserve">Bal Tax Payable </t>
  </si>
  <si>
    <t xml:space="preserve">Siddharth and Company </t>
  </si>
  <si>
    <t xml:space="preserve">Siddharth </t>
  </si>
  <si>
    <t xml:space="preserve">Amreeta </t>
  </si>
  <si>
    <t>AAXPA4521E</t>
  </si>
  <si>
    <t>(4) During the year, the firm paid  Excise Duty  of FY 2015-16. It  was not allowed then as per u/s 43B on account of non payment.</t>
  </si>
  <si>
    <t xml:space="preserve">Municipal taxes paid by the  Tenant during the previous year </t>
  </si>
  <si>
    <t>Late fees u/s 234F</t>
  </si>
  <si>
    <t>Interest credited in Amit's PPF Account</t>
  </si>
  <si>
    <t xml:space="preserve">PPF Intt  to Amit </t>
  </si>
  <si>
    <t>Telephone Expenses</t>
  </si>
  <si>
    <t>Sale of Residential House</t>
  </si>
  <si>
    <t xml:space="preserve">Rent received from Tenant </t>
  </si>
  <si>
    <t>AAAFS1558H</t>
  </si>
  <si>
    <t xml:space="preserve">Advertisement </t>
  </si>
  <si>
    <t xml:space="preserve">Adv tax </t>
  </si>
  <si>
    <t xml:space="preserve">Exps (Cash) </t>
  </si>
  <si>
    <t>OI-10a</t>
  </si>
  <si>
    <t>Add Dep</t>
  </si>
  <si>
    <t xml:space="preserve">House was purchased </t>
  </si>
  <si>
    <t>Rounded Off</t>
  </si>
  <si>
    <t>Sale of House</t>
  </si>
  <si>
    <t>Indexed Acq Cost of House</t>
  </si>
  <si>
    <t xml:space="preserve">Less Exem u/s 54EC (Max 50 Lakhs) </t>
  </si>
  <si>
    <t>Telephone</t>
  </si>
  <si>
    <t xml:space="preserve">Partners' Remuneration Allowed as per 40(b) on Book Profit First Rs. 300000 (90% or 150000); Balance @  60%...s t max paid amount  </t>
  </si>
  <si>
    <t>Late Fees u/s 234F</t>
  </si>
  <si>
    <t xml:space="preserve">Less Exemp u/s 54 ..Rs. 40 Lakhs </t>
  </si>
  <si>
    <t>BP-12i</t>
  </si>
  <si>
    <t xml:space="preserve">Advance tax </t>
  </si>
  <si>
    <t xml:space="preserve">NA </t>
  </si>
  <si>
    <t>Add  Agri Income</t>
  </si>
  <si>
    <t xml:space="preserve">Total Income (Excl Agri Income) </t>
  </si>
  <si>
    <t xml:space="preserve">12% Surcharge if TI &gt; 100 Lakhs </t>
  </si>
  <si>
    <t>Donation to a Ruling Political party (Included in other expenses in P &amp; L A/c )</t>
  </si>
  <si>
    <t xml:space="preserve">Dividend from Investment in Listed Equity Shares </t>
  </si>
  <si>
    <t xml:space="preserve">Divided (Tax Free) </t>
  </si>
  <si>
    <t>Fun India and Associates</t>
  </si>
  <si>
    <t>EADFF9321H</t>
  </si>
  <si>
    <t>TDS on Audit Fees</t>
  </si>
  <si>
    <t>OI-8Ab</t>
  </si>
  <si>
    <t>Cash Payment</t>
  </si>
  <si>
    <t xml:space="preserve">Total Income (Incl Agri Income) </t>
  </si>
  <si>
    <t xml:space="preserve">B.Com. (Hons) II yr, Semester-IV, Academic Year 2019-20      SEC Paper: E-Filing of Returns </t>
  </si>
  <si>
    <t>Generate income Tax Return for AY 2019-20  in ITR-5 from the data given below</t>
  </si>
  <si>
    <t xml:space="preserve">Case Study-501 on ITR-5       Dr S.B. Rathore, Former Associate Professor,  Shyam Lal College </t>
  </si>
  <si>
    <t>Ram Singh</t>
  </si>
  <si>
    <t>CII (FY 2018-19) 280</t>
  </si>
  <si>
    <t>Tax paid on 10-09-2018 (BSR Code of  SBI 0006623 ,Challan No.: 00001</t>
  </si>
  <si>
    <t>Tax paid on 31-03-2019 (BSR Code of  SBI 0006623 ,Challan No.: 00012</t>
  </si>
  <si>
    <t>Profit and Loss Account for the year ending 31-03-2019</t>
  </si>
  <si>
    <t>(7) New Plant &amp; Machinery (if any) purchased by 15-08-18  is qualified for additional depreciation @ 20% . This  additional depreciation is not available in respect of Computer.</t>
  </si>
  <si>
    <t>Balance Sheet as on 31-03-2019</t>
  </si>
  <si>
    <r>
      <rPr>
        <sz val="10"/>
        <color rgb="FFC00000"/>
        <rFont val="Arial"/>
        <family val="2"/>
      </rPr>
      <t>Tax Calculations -Case Study 501 (ITR-5)</t>
    </r>
    <r>
      <rPr>
        <sz val="10"/>
        <color rgb="FF081DB8"/>
        <rFont val="Arial"/>
        <family val="2"/>
      </rPr>
      <t xml:space="preserve">    Dr S.B. Rathore, Former Associate Professor,  SLC </t>
    </r>
  </si>
  <si>
    <t xml:space="preserve">Birthday Gift to Ram Singh  (Partner's ITR) </t>
  </si>
  <si>
    <t xml:space="preserve">Add Health &amp; Edu Cess </t>
  </si>
  <si>
    <t>Pyare Mohan</t>
  </si>
  <si>
    <t>Shyam Rathore</t>
  </si>
  <si>
    <t>Donation to BJP Political party (Included in other expenses in P &amp; L A/c )</t>
  </si>
  <si>
    <t xml:space="preserve">Birthday Gift to Ram Singh (Partner)  by Pyare Mohan (Partner) </t>
  </si>
  <si>
    <t>Date of Formation / Commencement of Business</t>
  </si>
  <si>
    <t xml:space="preserve">Permanent Account Number </t>
  </si>
  <si>
    <t>Audit Report u/s 44AB furnished on 15-10-19</t>
  </si>
  <si>
    <t>CA Radha Rani, PAN-AAAPR8160K; Membership No 986835; Proprietorship Regd No. 123456</t>
  </si>
  <si>
    <t>AAAPR1234H</t>
  </si>
  <si>
    <t>Remuneration to Partners (Rs 30,000 per partner per month)</t>
  </si>
  <si>
    <t>459, Kucha Rehman, Chandni Chowk,  Delhi-110006</t>
  </si>
  <si>
    <t>840, Gali Shatara, Chawri Bazar, Delhi-110006</t>
  </si>
  <si>
    <r>
      <t xml:space="preserve">  Income from Retail Trading  Business (Books of accounts maintained)  </t>
    </r>
    <r>
      <rPr>
        <b/>
        <sz val="11"/>
        <color rgb="FFC00000"/>
        <rFont val="Arial"/>
        <family val="2"/>
      </rPr>
      <t>Code No.  09028</t>
    </r>
  </si>
  <si>
    <t>Investment in Listed Eq Shares</t>
  </si>
  <si>
    <t>Carriage Inward</t>
  </si>
  <si>
    <t>Trading Account</t>
  </si>
  <si>
    <t xml:space="preserve">GP </t>
  </si>
  <si>
    <t>Manually- P &amp; L A/c at 52(ii)(a)</t>
  </si>
  <si>
    <t xml:space="preserve">Trade Name:  Rathore and Associates  (Deals in Consumer Durables) </t>
  </si>
  <si>
    <t xml:space="preserve">Gross Profit </t>
  </si>
  <si>
    <t xml:space="preserve">The Following information in regard  to depreciation on the Assets </t>
  </si>
  <si>
    <t xml:space="preserve">Manually : No Auto from Gen (2) to P &amp; L A/c at S No. 46  </t>
  </si>
  <si>
    <t>Plot:    240, Navin Shahdara, Delhi-32</t>
  </si>
  <si>
    <t>Buyer: Siddharth  (AAEPR4567K)</t>
  </si>
  <si>
    <t>GSTIN allotted 07AAAFR6835H1ZA</t>
  </si>
  <si>
    <t xml:space="preserve">Gross Turnover Reported </t>
  </si>
  <si>
    <t>Managing Partner who will verify return</t>
  </si>
  <si>
    <t xml:space="preserve">Father's Name of Managing Partner </t>
  </si>
  <si>
    <t>Brahma Dev</t>
  </si>
  <si>
    <t>Address of property: 15/25, Kamla Nagar, Delhi-110007. Fully owned by the Firm, Name of the Tenant: Harish Technology Ltd,  Kamla Nagar. Delhi-110007</t>
  </si>
  <si>
    <t>25, Saakshara Apartments,     A-3, Paschim Vihar, New Delhi-110063</t>
  </si>
  <si>
    <t>011-45023988</t>
  </si>
  <si>
    <t xml:space="preserve">Iddham </t>
  </si>
  <si>
    <t>AANPI5842G</t>
  </si>
  <si>
    <t>Tax deducted by the Tenant (DELN00007A) as per section 194I</t>
  </si>
  <si>
    <t xml:space="preserve">Investment in REC Capital Gain Bonds </t>
  </si>
  <si>
    <t xml:space="preserve">B.Com. (Hons) II yr, Semester-IV, Academic Year 2019-20       SEC Paper: E-Filing of Returns </t>
  </si>
  <si>
    <r>
      <rPr>
        <sz val="10"/>
        <color rgb="FFC00000"/>
        <rFont val="Arial"/>
        <family val="2"/>
      </rPr>
      <t>Tax Calculations -Case Study 502 (ITR-5)</t>
    </r>
    <r>
      <rPr>
        <sz val="10"/>
        <color rgb="FF081DB8"/>
        <rFont val="Arial"/>
        <family val="2"/>
      </rPr>
      <t xml:space="preserve">    Dr SB Rathore, Former Associate Professor,  SLC </t>
    </r>
  </si>
  <si>
    <t xml:space="preserve">Case Study-502 on ITR-5               Dr SB Rathore, Former Associate Professor,  Shyam Lal College </t>
  </si>
  <si>
    <t>CII (FY 2002-03) 105</t>
  </si>
  <si>
    <t>Audit Report u/s 44AB furnished on 03-10-19</t>
  </si>
  <si>
    <t xml:space="preserve">Trade Name:  Siddharth and Company   </t>
  </si>
  <si>
    <t>Gross Profit</t>
  </si>
  <si>
    <t>Loss c/f to  AY 2020-21</t>
  </si>
  <si>
    <t>Address: 1955, Tri Nagar, Delhi-110035</t>
  </si>
  <si>
    <t>Advance tax  tax paid by the Firm</t>
  </si>
  <si>
    <t>Tax paid on 01-03-2019 (BSR Code 0006623 ,Challan No.: 00012)</t>
  </si>
  <si>
    <t>Tax paid on 10-06-2018 (BSR Code 0006623 ,Challan No.: 00001)</t>
  </si>
  <si>
    <t>Gifs to Distributors</t>
  </si>
  <si>
    <t>Remuneration to all the 3 Partners (Rs 50,000 per partner per month)</t>
  </si>
  <si>
    <t>Address of property:  420,  Hasina Nagar, Delhi-110054. Fully owned by the Firm, Name of the Tenant: Naresh Ltd,  Shyam Vihar, Delhi-110017;  TAN:  DELN00714A</t>
  </si>
  <si>
    <t>CGST &amp; SGST in respects of goods</t>
  </si>
  <si>
    <t xml:space="preserve">CGST (50%) &amp; SGST (50%) </t>
  </si>
  <si>
    <t xml:space="preserve">Carriage inward </t>
  </si>
  <si>
    <t>Buyer: Amit  PAN  ABAPA4567K</t>
  </si>
  <si>
    <t xml:space="preserve">Mahatma </t>
  </si>
  <si>
    <t>CA Kapil, PAN-AAAPK8160R; Membership No 116835, Proprietorship Regd No. 987654</t>
  </si>
  <si>
    <t>Axis Short-Term Ultra Mutual Funds</t>
  </si>
  <si>
    <r>
      <t xml:space="preserve">B.Com. (Hons) II Year,   Semester-IV,   Academic Year 2019-20    </t>
    </r>
    <r>
      <rPr>
        <sz val="11"/>
        <color rgb="FF081DB8"/>
        <rFont val="Arial"/>
        <family val="2"/>
      </rPr>
      <t xml:space="preserve">  </t>
    </r>
    <r>
      <rPr>
        <sz val="11"/>
        <color rgb="FF7030A0"/>
        <rFont val="Arial"/>
        <family val="2"/>
      </rPr>
      <t xml:space="preserve"> SEC Paper: E-Filing of Returns </t>
    </r>
  </si>
  <si>
    <t xml:space="preserve">Case Study-503 on ITR-5               Dr SB Rathore, Former  Associate Professor,  Shyam Lal College </t>
  </si>
  <si>
    <t xml:space="preserve">Usha Rathore </t>
  </si>
  <si>
    <t>Vimal Malhotra</t>
  </si>
  <si>
    <t>Ranjit Chhabra</t>
  </si>
  <si>
    <t>R-50, Greater Kailash-I, New Delhi-110048</t>
  </si>
  <si>
    <t>AANPR5842G</t>
  </si>
  <si>
    <t>AASPM8752C</t>
  </si>
  <si>
    <t>AAXPC4521E</t>
  </si>
  <si>
    <t>Shammi Kapoor</t>
  </si>
  <si>
    <t>CGST Received</t>
  </si>
  <si>
    <t xml:space="preserve">SGST Received </t>
  </si>
  <si>
    <t>CGST Paid  on goods purchased</t>
  </si>
  <si>
    <t>(4) Excessive Payment (Salary)  made to Partner-Vimal's Brother</t>
  </si>
  <si>
    <t>(6) New Plant &amp; Machinery  purchased on 26-04-18  is qualified for additional depreciation @ 20% . Additional depreciation not available in respect of Computer.</t>
  </si>
  <si>
    <t xml:space="preserve">Investment in Listed Eq Shares (LT) </t>
  </si>
  <si>
    <t xml:space="preserve">Sundry debtors (Less than 1 yr) </t>
  </si>
  <si>
    <t>Sundry Creditors (Less than 1 yr)</t>
  </si>
  <si>
    <t>Less Std Ded 30%</t>
  </si>
  <si>
    <t>Loss on H Property C/f to AY 2020-21</t>
  </si>
  <si>
    <r>
      <rPr>
        <sz val="10"/>
        <color rgb="FFC00000"/>
        <rFont val="Arial"/>
        <family val="2"/>
      </rPr>
      <t>Tax Cals -Case Study 503 (ITR-5)</t>
    </r>
    <r>
      <rPr>
        <sz val="10"/>
        <color rgb="FF081DB8"/>
        <rFont val="Arial"/>
        <family val="2"/>
      </rPr>
      <t xml:space="preserve">    Dr SB Rathore, Former Associate Professor,  SLC </t>
    </r>
  </si>
  <si>
    <t>Intt on capital to partners(@ 15%</t>
  </si>
  <si>
    <t>Plot Add: 25, Vaishali, Pitam Pura-110034</t>
  </si>
  <si>
    <t>CII (FY 18-19)  280</t>
  </si>
  <si>
    <t>SGST Paid  on goods purchased</t>
  </si>
  <si>
    <r>
      <rPr>
        <b/>
        <sz val="11"/>
        <color rgb="FFC00000"/>
        <rFont val="Arial"/>
        <family val="2"/>
      </rPr>
      <t>Trade Name - Fun India</t>
    </r>
    <r>
      <rPr>
        <sz val="11"/>
        <rFont val="Arial"/>
        <family val="2"/>
      </rPr>
      <t xml:space="preserve"> (Books of account maintained)    Code No.  09021</t>
    </r>
  </si>
  <si>
    <t>P &amp; L A/c</t>
  </si>
  <si>
    <t>Remuneration to Partners (Rs  100000 per partner per month)</t>
  </si>
  <si>
    <t xml:space="preserve">Remuneration </t>
  </si>
  <si>
    <t>Generate income Tax Return for AY 2019-20 in ITR-5 from the data given below</t>
  </si>
  <si>
    <t xml:space="preserve">Tax Refundable </t>
  </si>
  <si>
    <t>GSTIN allotted 07AAAFS1558H1ZB</t>
  </si>
  <si>
    <r>
      <t xml:space="preserve">Wholesale  Business of Food and Beverages (Books of accounts maintained)  </t>
    </r>
    <r>
      <rPr>
        <b/>
        <sz val="11"/>
        <color rgb="FFC00000"/>
        <rFont val="Arial"/>
        <family val="2"/>
      </rPr>
      <t>Code No.  09007</t>
    </r>
  </si>
  <si>
    <t>Loans and Advances (BP)</t>
  </si>
  <si>
    <t xml:space="preserve">Sundry debtors (More than 1 yr) </t>
  </si>
  <si>
    <t>(Less than 360 days)</t>
  </si>
  <si>
    <t xml:space="preserve">DEP </t>
  </si>
  <si>
    <t>BP-17</t>
  </si>
  <si>
    <t>BP-16</t>
  </si>
  <si>
    <t>BP-31</t>
  </si>
  <si>
    <t>BP-15</t>
  </si>
  <si>
    <t xml:space="preserve">Manually (No Auto) Gen (2) and P &amp; L A/c (S No. 46)  </t>
  </si>
  <si>
    <t xml:space="preserve">Manually- OI at S.No. 8A(h) u/s 40(b) </t>
  </si>
  <si>
    <t>Tax Refund</t>
  </si>
  <si>
    <t>M-240, Lodhi Road, New Delhi-110003</t>
  </si>
  <si>
    <t>HDFC Bank</t>
  </si>
  <si>
    <t>HDFC0000327</t>
  </si>
  <si>
    <t>Tax paid on 09-06-2018 (BSR Code of  0001704 ,Challan No.: 00001)</t>
  </si>
  <si>
    <t>Tax paid on 29-01-2019 (BSR Code of  0001704 ,Challan No.: 00015)</t>
  </si>
  <si>
    <t>Dr (CA) S B Rathore,   PAN-AAAPR6835H;  Membership No 987654, Prop  Regd No. 112233</t>
  </si>
  <si>
    <t>Power and fuel (Direct Exps)</t>
  </si>
  <si>
    <t xml:space="preserve">Repair (Building on Rent) </t>
  </si>
  <si>
    <t>Medical insurance</t>
  </si>
  <si>
    <t xml:space="preserve"> Allowed </t>
  </si>
  <si>
    <t xml:space="preserve"> Allowed</t>
  </si>
  <si>
    <t>Address of property: 15/25, Prem Nagar, Delhi-110003. Fully owned by the Firm, Name of the Tenant:  Rathore Technology Ltd,  A-3/25, Paschim Vihar, New  Delhi-110063</t>
  </si>
  <si>
    <t>Tax deducted by the Tenant (DELR12345E) as per section 194I</t>
  </si>
  <si>
    <t>Purchased House in the name of Partner-Ranjeet</t>
  </si>
  <si>
    <t>Buyer: Sita Ram (PAN ABSPR9875H)</t>
  </si>
  <si>
    <t>GSTIN allotted 07EADFF9321H1ZB</t>
  </si>
  <si>
    <t xml:space="preserve">Gross Total Income </t>
  </si>
  <si>
    <t>After HP Loss Set Off</t>
  </si>
  <si>
    <t xml:space="preserve">Less Rebate on  Agri Income </t>
  </si>
  <si>
    <t xml:space="preserve">(5) Agricultural Income (Within India) </t>
  </si>
  <si>
    <t>Audit Report u/s 44AB furnished on 31-10-2019</t>
  </si>
  <si>
    <t>Ques &amp; Tax Cals</t>
  </si>
  <si>
    <t>Excel Workbook</t>
  </si>
  <si>
    <t xml:space="preserve">XML </t>
  </si>
  <si>
    <t xml:space="preserve">YouTube </t>
  </si>
  <si>
    <t>Blank Excel 5.4</t>
  </si>
  <si>
    <t>http://taxclasses.in/ques-tax-cals-case-503/</t>
  </si>
  <si>
    <t>https://drive.google.com/open?id=1sx4gMm9MPf0RWrq0E_r5bqi9hnt4qGDZ</t>
  </si>
  <si>
    <t>https://drive.google.com/open?id=1NVbg4TYL3am2sp79VAShqhI3WKFgHIkI</t>
  </si>
  <si>
    <t>https://drive.google.com/open?id=1_2jo2E1_E17A149Pt8f9XwzNFuVfQT-q</t>
  </si>
  <si>
    <t>https://youtu.be/nprw26qAJlw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</si>
</sst>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s.&quot;\ #,##0;[Red]&quot;Rs.&quot;\ \-#,##0"/>
    <numFmt numFmtId="165" formatCode="[$-409]d\-mmm\-yy;@"/>
  </numFmts>
  <fonts count="4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u/>
      <sz val="1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1"/>
      <color rgb="FFC00000"/>
      <name val="Arial"/>
      <family val="2"/>
    </font>
    <font>
      <b/>
      <sz val="11"/>
      <color rgb="FFC0000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u/>
      <sz val="11"/>
      <color theme="1"/>
      <name val="Arial"/>
      <family val="2"/>
    </font>
    <font>
      <sz val="12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theme="1"/>
      <name val="Arial"/>
      <family val="2"/>
    </font>
    <font>
      <i/>
      <sz val="11"/>
      <name val="Arial"/>
      <family val="2"/>
    </font>
    <font>
      <sz val="11"/>
      <color rgb="FF081DB8"/>
      <name val="Arial"/>
      <family val="2"/>
    </font>
    <font>
      <sz val="11"/>
      <color rgb="FF7030A0"/>
      <name val="Arial"/>
      <family val="2"/>
    </font>
    <font>
      <i/>
      <sz val="11"/>
      <color rgb="FF081DB8"/>
      <name val="Arial"/>
      <family val="2"/>
    </font>
    <font>
      <i/>
      <sz val="9"/>
      <name val="Arial"/>
      <family val="2"/>
    </font>
    <font>
      <b/>
      <sz val="11"/>
      <color rgb="FF081DB8"/>
      <name val="Arial"/>
      <family val="2"/>
    </font>
    <font>
      <b/>
      <sz val="9"/>
      <color rgb="FFC00000"/>
      <name val="Arial"/>
      <family val="2"/>
    </font>
    <font>
      <sz val="10"/>
      <color rgb="FF081DB8"/>
      <name val="Arial"/>
      <family val="2"/>
    </font>
    <font>
      <sz val="10"/>
      <color rgb="FFC00000"/>
      <name val="Arial"/>
      <family val="2"/>
    </font>
    <font>
      <b/>
      <sz val="11"/>
      <color rgb="FFFF000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rgb="FF081DB8"/>
      <name val="Arial"/>
      <family val="2"/>
    </font>
    <font>
      <b/>
      <sz val="9"/>
      <color rgb="FF081DB8"/>
      <name val="Arial"/>
      <family val="2"/>
    </font>
    <font>
      <b/>
      <sz val="11"/>
      <color rgb="FF7030A0"/>
      <name val="Arial"/>
      <family val="2"/>
    </font>
    <font>
      <b/>
      <i/>
      <sz val="11"/>
      <color rgb="FF081DB8"/>
      <name val="Arial"/>
      <family val="2"/>
    </font>
    <font>
      <b/>
      <sz val="10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0" fillId="0" borderId="0"/>
    <xf numFmtId="0" fontId="9" fillId="0" borderId="0"/>
    <xf numFmtId="9" fontId="9" fillId="0" borderId="0" applyFont="0" applyFill="0" applyBorder="0" applyAlignment="0" applyProtection="0"/>
  </cellStyleXfs>
  <cellXfs count="621">
    <xf numFmtId="0" fontId="0" fillId="0" borderId="0" xfId="0"/>
    <xf numFmtId="0" fontId="2" fillId="0" borderId="0" xfId="0" applyFont="1"/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9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/>
    <xf numFmtId="0" fontId="5" fillId="0" borderId="0" xfId="0" applyFont="1"/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6" fillId="0" borderId="0" xfId="1" applyFont="1"/>
    <xf numFmtId="9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7" fillId="0" borderId="0" xfId="0" applyFont="1"/>
    <xf numFmtId="3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3" fontId="5" fillId="0" borderId="2" xfId="0" applyNumberFormat="1" applyFont="1" applyBorder="1" applyAlignment="1">
      <alignment horizontal="center"/>
    </xf>
    <xf numFmtId="0" fontId="5" fillId="0" borderId="0" xfId="0" applyFont="1" applyAlignment="1"/>
    <xf numFmtId="3" fontId="5" fillId="0" borderId="0" xfId="0" applyNumberFormat="1" applyFont="1" applyBorder="1" applyAlignment="1">
      <alignment horizontal="center"/>
    </xf>
    <xf numFmtId="0" fontId="8" fillId="0" borderId="0" xfId="0" applyFont="1" applyAlignment="1"/>
    <xf numFmtId="3" fontId="2" fillId="0" borderId="0" xfId="0" applyNumberFormat="1" applyFont="1" applyAlignment="1">
      <alignment horizontal="right"/>
    </xf>
    <xf numFmtId="0" fontId="4" fillId="0" borderId="0" xfId="0" applyFont="1" applyAlignment="1"/>
    <xf numFmtId="3" fontId="2" fillId="0" borderId="1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center"/>
    </xf>
    <xf numFmtId="9" fontId="2" fillId="0" borderId="0" xfId="0" applyNumberFormat="1" applyFont="1" applyAlignment="1">
      <alignment horizontal="center"/>
    </xf>
    <xf numFmtId="15" fontId="2" fillId="0" borderId="0" xfId="0" applyNumberFormat="1" applyFont="1" applyAlignment="1">
      <alignment horizontal="center"/>
    </xf>
    <xf numFmtId="3" fontId="2" fillId="2" borderId="0" xfId="0" applyNumberFormat="1" applyFont="1" applyFill="1" applyAlignment="1">
      <alignment horizontal="right"/>
    </xf>
    <xf numFmtId="3" fontId="2" fillId="0" borderId="0" xfId="0" applyNumberFormat="1" applyFont="1" applyAlignment="1"/>
    <xf numFmtId="0" fontId="2" fillId="0" borderId="0" xfId="0" applyFont="1" applyAlignment="1">
      <alignment horizontal="left" indent="1"/>
    </xf>
    <xf numFmtId="3" fontId="2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center"/>
    </xf>
    <xf numFmtId="15" fontId="2" fillId="0" borderId="5" xfId="0" applyNumberFormat="1" applyFont="1" applyBorder="1" applyAlignment="1">
      <alignment horizontal="center"/>
    </xf>
    <xf numFmtId="9" fontId="2" fillId="2" borderId="5" xfId="0" applyNumberFormat="1" applyFont="1" applyFill="1" applyBorder="1" applyAlignment="1">
      <alignment horizontal="center"/>
    </xf>
    <xf numFmtId="9" fontId="2" fillId="0" borderId="5" xfId="0" applyNumberFormat="1" applyFont="1" applyBorder="1" applyAlignment="1">
      <alignment horizontal="center"/>
    </xf>
    <xf numFmtId="0" fontId="8" fillId="0" borderId="5" xfId="0" applyFont="1" applyBorder="1" applyAlignment="1">
      <alignment vertical="top" wrapText="1"/>
    </xf>
    <xf numFmtId="0" fontId="2" fillId="0" borderId="6" xfId="0" applyFont="1" applyBorder="1" applyAlignment="1"/>
    <xf numFmtId="0" fontId="2" fillId="0" borderId="2" xfId="0" applyFont="1" applyBorder="1" applyAlignment="1"/>
    <xf numFmtId="0" fontId="2" fillId="0" borderId="7" xfId="0" applyFont="1" applyBorder="1" applyAlignment="1"/>
    <xf numFmtId="0" fontId="2" fillId="0" borderId="6" xfId="0" applyFont="1" applyBorder="1" applyAlignment="1">
      <alignment horizontal="left" indent="1"/>
    </xf>
    <xf numFmtId="0" fontId="2" fillId="0" borderId="6" xfId="0" applyFont="1" applyBorder="1" applyAlignment="1">
      <alignment horizontal="left" indent="10"/>
    </xf>
    <xf numFmtId="0" fontId="2" fillId="0" borderId="0" xfId="0" applyFont="1" applyAlignment="1">
      <alignment horizontal="left" indent="2"/>
    </xf>
    <xf numFmtId="0" fontId="2" fillId="0" borderId="2" xfId="0" applyFont="1" applyBorder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8" fillId="0" borderId="6" xfId="0" applyFont="1" applyBorder="1" applyAlignment="1">
      <alignment horizontal="left" indent="1"/>
    </xf>
    <xf numFmtId="0" fontId="8" fillId="0" borderId="7" xfId="0" applyFont="1" applyBorder="1" applyAlignment="1"/>
    <xf numFmtId="0" fontId="2" fillId="0" borderId="7" xfId="0" applyFont="1" applyBorder="1" applyAlignment="1">
      <alignment horizontal="center"/>
    </xf>
    <xf numFmtId="0" fontId="8" fillId="0" borderId="2" xfId="0" applyFont="1" applyBorder="1" applyAlignment="1">
      <alignment horizontal="left" indent="1"/>
    </xf>
    <xf numFmtId="3" fontId="2" fillId="0" borderId="5" xfId="0" applyNumberFormat="1" applyFont="1" applyBorder="1" applyAlignment="1">
      <alignment horizontal="right"/>
    </xf>
    <xf numFmtId="3" fontId="2" fillId="0" borderId="5" xfId="0" applyNumberFormat="1" applyFont="1" applyBorder="1" applyAlignment="1"/>
    <xf numFmtId="3" fontId="2" fillId="2" borderId="5" xfId="0" applyNumberFormat="1" applyFont="1" applyFill="1" applyBorder="1" applyAlignment="1">
      <alignment horizontal="right"/>
    </xf>
    <xf numFmtId="0" fontId="8" fillId="0" borderId="12" xfId="0" applyFont="1" applyBorder="1" applyAlignment="1">
      <alignment horizontal="left" indent="1"/>
    </xf>
    <xf numFmtId="0" fontId="8" fillId="0" borderId="13" xfId="0" applyFont="1" applyBorder="1" applyAlignment="1"/>
    <xf numFmtId="3" fontId="2" fillId="0" borderId="14" xfId="0" applyNumberFormat="1" applyFont="1" applyBorder="1" applyAlignment="1">
      <alignment horizontal="right"/>
    </xf>
    <xf numFmtId="0" fontId="2" fillId="0" borderId="3" xfId="0" applyFont="1" applyBorder="1" applyAlignment="1"/>
    <xf numFmtId="0" fontId="2" fillId="0" borderId="11" xfId="0" applyFont="1" applyBorder="1" applyAlignment="1"/>
    <xf numFmtId="0" fontId="2" fillId="0" borderId="13" xfId="0" applyFont="1" applyBorder="1" applyAlignment="1"/>
    <xf numFmtId="0" fontId="2" fillId="0" borderId="0" xfId="0" applyFont="1" applyBorder="1" applyAlignment="1"/>
    <xf numFmtId="0" fontId="2" fillId="0" borderId="9" xfId="0" applyFont="1" applyBorder="1" applyAlignment="1"/>
    <xf numFmtId="0" fontId="2" fillId="0" borderId="10" xfId="0" applyFont="1" applyBorder="1" applyAlignment="1"/>
    <xf numFmtId="0" fontId="2" fillId="0" borderId="1" xfId="0" applyFont="1" applyBorder="1" applyAlignment="1"/>
    <xf numFmtId="0" fontId="2" fillId="0" borderId="4" xfId="0" applyFont="1" applyBorder="1" applyAlignment="1"/>
    <xf numFmtId="0" fontId="4" fillId="0" borderId="12" xfId="0" applyFont="1" applyBorder="1" applyAlignment="1"/>
    <xf numFmtId="0" fontId="2" fillId="0" borderId="11" xfId="0" applyFont="1" applyBorder="1" applyAlignment="1">
      <alignment horizontal="center"/>
    </xf>
    <xf numFmtId="3" fontId="2" fillId="0" borderId="13" xfId="0" applyNumberFormat="1" applyFont="1" applyBorder="1" applyAlignment="1">
      <alignment horizontal="right"/>
    </xf>
    <xf numFmtId="1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2" fillId="2" borderId="9" xfId="0" applyNumberFormat="1" applyFont="1" applyFill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3" fontId="2" fillId="0" borderId="4" xfId="0" applyNumberFormat="1" applyFont="1" applyBorder="1" applyAlignment="1">
      <alignment horizontal="right"/>
    </xf>
    <xf numFmtId="0" fontId="2" fillId="0" borderId="11" xfId="0" applyFont="1" applyBorder="1" applyAlignment="1">
      <alignment horizontal="left"/>
    </xf>
    <xf numFmtId="0" fontId="2" fillId="0" borderId="0" xfId="0" applyFont="1" applyBorder="1" applyAlignment="1">
      <alignment wrapText="1"/>
    </xf>
    <xf numFmtId="14" fontId="2" fillId="0" borderId="5" xfId="0" applyNumberFormat="1" applyFont="1" applyBorder="1" applyAlignment="1">
      <alignment horizontal="center"/>
    </xf>
    <xf numFmtId="3" fontId="2" fillId="2" borderId="5" xfId="0" applyNumberFormat="1" applyFont="1" applyFill="1" applyBorder="1" applyAlignment="1"/>
    <xf numFmtId="3" fontId="2" fillId="0" borderId="5" xfId="0" applyNumberFormat="1" applyFont="1" applyFill="1" applyBorder="1" applyAlignment="1"/>
    <xf numFmtId="14" fontId="2" fillId="2" borderId="5" xfId="0" applyNumberFormat="1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right"/>
    </xf>
    <xf numFmtId="3" fontId="4" fillId="0" borderId="15" xfId="0" applyNumberFormat="1" applyFont="1" applyBorder="1" applyAlignment="1">
      <alignment horizontal="right"/>
    </xf>
    <xf numFmtId="0" fontId="4" fillId="0" borderId="3" xfId="0" applyFont="1" applyBorder="1" applyAlignment="1"/>
    <xf numFmtId="0" fontId="4" fillId="0" borderId="3" xfId="0" applyFont="1" applyBorder="1" applyAlignment="1">
      <alignment horizontal="center"/>
    </xf>
    <xf numFmtId="0" fontId="8" fillId="0" borderId="0" xfId="0" applyFont="1" applyBorder="1" applyAlignment="1"/>
    <xf numFmtId="0" fontId="2" fillId="0" borderId="2" xfId="0" applyFont="1" applyBorder="1" applyAlignment="1">
      <alignment horizontal="center"/>
    </xf>
    <xf numFmtId="3" fontId="2" fillId="0" borderId="16" xfId="0" applyNumberFormat="1" applyFont="1" applyBorder="1" applyAlignment="1">
      <alignment horizontal="right"/>
    </xf>
    <xf numFmtId="3" fontId="2" fillId="0" borderId="17" xfId="0" applyNumberFormat="1" applyFont="1" applyBorder="1" applyAlignment="1">
      <alignment horizontal="right"/>
    </xf>
    <xf numFmtId="0" fontId="2" fillId="0" borderId="18" xfId="0" applyFont="1" applyBorder="1" applyAlignment="1"/>
    <xf numFmtId="0" fontId="2" fillId="0" borderId="8" xfId="0" applyFont="1" applyBorder="1" applyAlignment="1">
      <alignment horizontal="left" indent="2"/>
    </xf>
    <xf numFmtId="0" fontId="2" fillId="0" borderId="12" xfId="0" applyFont="1" applyBorder="1" applyAlignment="1">
      <alignment horizontal="left" indent="1"/>
    </xf>
    <xf numFmtId="0" fontId="2" fillId="0" borderId="11" xfId="0" applyFont="1" applyBorder="1" applyAlignment="1">
      <alignment horizontal="left" indent="1"/>
    </xf>
    <xf numFmtId="0" fontId="2" fillId="0" borderId="13" xfId="0" applyFont="1" applyBorder="1" applyAlignment="1">
      <alignment horizontal="left" indent="1"/>
    </xf>
    <xf numFmtId="15" fontId="2" fillId="0" borderId="8" xfId="0" applyNumberFormat="1" applyFont="1" applyBorder="1" applyAlignment="1">
      <alignment horizontal="left" indent="1"/>
    </xf>
    <xf numFmtId="14" fontId="2" fillId="0" borderId="0" xfId="0" applyNumberFormat="1" applyFont="1" applyBorder="1" applyAlignment="1">
      <alignment horizontal="left" indent="1"/>
    </xf>
    <xf numFmtId="14" fontId="2" fillId="0" borderId="9" xfId="0" applyNumberFormat="1" applyFont="1" applyBorder="1" applyAlignment="1">
      <alignment horizontal="left" indent="1"/>
    </xf>
    <xf numFmtId="0" fontId="2" fillId="0" borderId="8" xfId="0" applyFont="1" applyBorder="1" applyAlignment="1">
      <alignment horizontal="left" indent="1"/>
    </xf>
    <xf numFmtId="0" fontId="2" fillId="0" borderId="0" xfId="0" applyFont="1" applyBorder="1" applyAlignment="1">
      <alignment horizontal="left" indent="1"/>
    </xf>
    <xf numFmtId="0" fontId="2" fillId="0" borderId="9" xfId="0" applyFont="1" applyBorder="1" applyAlignment="1">
      <alignment horizontal="left" indent="1"/>
    </xf>
    <xf numFmtId="0" fontId="0" fillId="0" borderId="8" xfId="0" applyBorder="1" applyAlignment="1">
      <alignment horizontal="left" indent="1"/>
    </xf>
    <xf numFmtId="0" fontId="3" fillId="0" borderId="0" xfId="1" applyFont="1" applyBorder="1" applyAlignment="1">
      <alignment horizontal="left" indent="1"/>
    </xf>
    <xf numFmtId="0" fontId="3" fillId="0" borderId="9" xfId="1" applyFont="1" applyBorder="1" applyAlignment="1">
      <alignment horizontal="left" indent="1"/>
    </xf>
    <xf numFmtId="0" fontId="2" fillId="0" borderId="10" xfId="0" applyFont="1" applyBorder="1" applyAlignment="1">
      <alignment horizontal="left" indent="1"/>
    </xf>
    <xf numFmtId="0" fontId="2" fillId="0" borderId="1" xfId="0" applyFont="1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3" fontId="2" fillId="0" borderId="1" xfId="0" applyNumberFormat="1" applyFont="1" applyBorder="1" applyAlignment="1">
      <alignment horizontal="left" indent="1"/>
    </xf>
    <xf numFmtId="0" fontId="2" fillId="0" borderId="8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10"/>
    </xf>
    <xf numFmtId="0" fontId="11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3" fontId="2" fillId="0" borderId="1" xfId="0" applyNumberFormat="1" applyFont="1" applyBorder="1" applyAlignment="1"/>
    <xf numFmtId="3" fontId="2" fillId="0" borderId="0" xfId="0" applyNumberFormat="1" applyFont="1"/>
    <xf numFmtId="3" fontId="4" fillId="0" borderId="0" xfId="0" applyNumberFormat="1" applyFont="1" applyAlignment="1"/>
    <xf numFmtId="0" fontId="4" fillId="0" borderId="0" xfId="0" applyFont="1" applyAlignment="1">
      <alignment horizontal="left" indent="1"/>
    </xf>
    <xf numFmtId="14" fontId="2" fillId="2" borderId="0" xfId="0" applyNumberFormat="1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5" fontId="2" fillId="0" borderId="0" xfId="0" applyNumberFormat="1" applyFont="1" applyBorder="1" applyAlignment="1">
      <alignment horizontal="left"/>
    </xf>
    <xf numFmtId="0" fontId="11" fillId="0" borderId="0" xfId="0" applyFont="1" applyAlignment="1"/>
    <xf numFmtId="3" fontId="4" fillId="0" borderId="3" xfId="0" applyNumberFormat="1" applyFont="1" applyBorder="1" applyAlignment="1"/>
    <xf numFmtId="0" fontId="8" fillId="0" borderId="0" xfId="1" applyFont="1" applyAlignment="1"/>
    <xf numFmtId="14" fontId="2" fillId="0" borderId="0" xfId="0" applyNumberFormat="1" applyFont="1" applyAlignment="1">
      <alignment horizontal="left" indent="1"/>
    </xf>
    <xf numFmtId="3" fontId="2" fillId="0" borderId="0" xfId="0" applyNumberFormat="1" applyFont="1" applyBorder="1" applyAlignment="1"/>
    <xf numFmtId="3" fontId="12" fillId="0" borderId="0" xfId="0" applyNumberFormat="1" applyFont="1" applyAlignment="1"/>
    <xf numFmtId="0" fontId="13" fillId="0" borderId="0" xfId="0" applyFont="1" applyAlignment="1"/>
    <xf numFmtId="3" fontId="4" fillId="3" borderId="0" xfId="0" applyNumberFormat="1" applyFont="1" applyFill="1" applyAlignment="1"/>
    <xf numFmtId="3" fontId="4" fillId="0" borderId="0" xfId="0" applyNumberFormat="1" applyFont="1" applyBorder="1" applyAlignment="1"/>
    <xf numFmtId="0" fontId="11" fillId="0" borderId="8" xfId="0" applyFont="1" applyBorder="1" applyAlignment="1">
      <alignment horizontal="left" indent="1"/>
    </xf>
    <xf numFmtId="0" fontId="2" fillId="0" borderId="6" xfId="0" applyFont="1" applyBorder="1" applyAlignment="1">
      <alignment horizontal="left" indent="2"/>
    </xf>
    <xf numFmtId="0" fontId="2" fillId="0" borderId="0" xfId="0" applyFont="1" applyAlignment="1">
      <alignment horizontal="left" wrapText="1" indent="1"/>
    </xf>
    <xf numFmtId="0" fontId="2" fillId="0" borderId="5" xfId="0" applyFont="1" applyBorder="1" applyAlignment="1">
      <alignment horizontal="center"/>
    </xf>
    <xf numFmtId="0" fontId="13" fillId="0" borderId="0" xfId="0" applyFont="1" applyAlignment="1">
      <alignment vertical="center"/>
    </xf>
    <xf numFmtId="3" fontId="14" fillId="0" borderId="4" xfId="0" applyNumberFormat="1" applyFont="1" applyBorder="1" applyAlignment="1">
      <alignment horizontal="left"/>
    </xf>
    <xf numFmtId="0" fontId="15" fillId="0" borderId="3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left" vertical="center" indent="1"/>
    </xf>
    <xf numFmtId="0" fontId="8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Fill="1"/>
    <xf numFmtId="0" fontId="2" fillId="0" borderId="12" xfId="0" applyFont="1" applyFill="1" applyBorder="1" applyAlignment="1">
      <alignment horizontal="left" indent="1"/>
    </xf>
    <xf numFmtId="0" fontId="2" fillId="0" borderId="11" xfId="0" applyFont="1" applyFill="1" applyBorder="1" applyAlignment="1"/>
    <xf numFmtId="0" fontId="2" fillId="0" borderId="13" xfId="0" applyFont="1" applyFill="1" applyBorder="1" applyAlignment="1"/>
    <xf numFmtId="0" fontId="2" fillId="0" borderId="11" xfId="0" applyFont="1" applyFill="1" applyBorder="1" applyAlignment="1">
      <alignment horizontal="left" indent="1"/>
    </xf>
    <xf numFmtId="0" fontId="2" fillId="0" borderId="13" xfId="0" applyFont="1" applyFill="1" applyBorder="1" applyAlignment="1">
      <alignment horizontal="left" indent="1"/>
    </xf>
    <xf numFmtId="0" fontId="2" fillId="0" borderId="8" xfId="0" applyFont="1" applyFill="1" applyBorder="1" applyAlignment="1">
      <alignment horizontal="left" indent="1"/>
    </xf>
    <xf numFmtId="0" fontId="2" fillId="0" borderId="0" xfId="0" applyFont="1" applyFill="1" applyBorder="1" applyAlignment="1"/>
    <xf numFmtId="0" fontId="2" fillId="0" borderId="9" xfId="0" applyFont="1" applyFill="1" applyBorder="1" applyAlignment="1"/>
    <xf numFmtId="15" fontId="2" fillId="0" borderId="8" xfId="0" applyNumberFormat="1" applyFont="1" applyFill="1" applyBorder="1" applyAlignment="1">
      <alignment horizontal="left" indent="1"/>
    </xf>
    <xf numFmtId="14" fontId="2" fillId="0" borderId="0" xfId="0" applyNumberFormat="1" applyFont="1" applyFill="1" applyBorder="1" applyAlignment="1">
      <alignment horizontal="left" indent="1"/>
    </xf>
    <xf numFmtId="14" fontId="2" fillId="0" borderId="9" xfId="0" applyNumberFormat="1" applyFont="1" applyFill="1" applyBorder="1" applyAlignment="1">
      <alignment horizontal="left" indent="1"/>
    </xf>
    <xf numFmtId="0" fontId="2" fillId="0" borderId="8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 indent="1"/>
    </xf>
    <xf numFmtId="0" fontId="2" fillId="0" borderId="9" xfId="0" applyFont="1" applyFill="1" applyBorder="1" applyAlignment="1">
      <alignment horizontal="left" indent="1"/>
    </xf>
    <xf numFmtId="0" fontId="3" fillId="0" borderId="0" xfId="1" applyFont="1" applyFill="1" applyBorder="1" applyAlignment="1">
      <alignment horizontal="left" indent="1"/>
    </xf>
    <xf numFmtId="0" fontId="3" fillId="0" borderId="9" xfId="1" applyFont="1" applyFill="1" applyBorder="1" applyAlignment="1">
      <alignment horizontal="left" indent="1"/>
    </xf>
    <xf numFmtId="0" fontId="11" fillId="0" borderId="8" xfId="0" applyFont="1" applyFill="1" applyBorder="1" applyAlignment="1">
      <alignment horizontal="left" indent="1"/>
    </xf>
    <xf numFmtId="0" fontId="8" fillId="0" borderId="8" xfId="0" applyFont="1" applyFill="1" applyBorder="1" applyAlignment="1">
      <alignment horizontal="left" vertical="center" indent="1"/>
    </xf>
    <xf numFmtId="0" fontId="2" fillId="0" borderId="10" xfId="0" applyFont="1" applyFill="1" applyBorder="1" applyAlignment="1">
      <alignment horizontal="left" indent="1"/>
    </xf>
    <xf numFmtId="0" fontId="2" fillId="0" borderId="1" xfId="0" applyFont="1" applyFill="1" applyBorder="1" applyAlignment="1"/>
    <xf numFmtId="0" fontId="2" fillId="0" borderId="4" xfId="0" applyFont="1" applyFill="1" applyBorder="1" applyAlignment="1"/>
    <xf numFmtId="0" fontId="2" fillId="0" borderId="1" xfId="0" applyFont="1" applyFill="1" applyBorder="1" applyAlignment="1">
      <alignment horizontal="left" indent="1"/>
    </xf>
    <xf numFmtId="0" fontId="2" fillId="0" borderId="4" xfId="0" applyFont="1" applyFill="1" applyBorder="1" applyAlignment="1">
      <alignment horizontal="left" indent="1"/>
    </xf>
    <xf numFmtId="0" fontId="2" fillId="0" borderId="0" xfId="0" applyFont="1" applyFill="1" applyAlignment="1">
      <alignment horizontal="left" indent="1"/>
    </xf>
    <xf numFmtId="0" fontId="2" fillId="0" borderId="0" xfId="0" applyFont="1" applyFill="1" applyAlignment="1"/>
    <xf numFmtId="0" fontId="2" fillId="0" borderId="6" xfId="0" applyFont="1" applyFill="1" applyBorder="1" applyAlignment="1">
      <alignment horizontal="left" indent="10"/>
    </xf>
    <xf numFmtId="0" fontId="2" fillId="0" borderId="2" xfId="0" applyFont="1" applyFill="1" applyBorder="1" applyAlignment="1"/>
    <xf numFmtId="0" fontId="2" fillId="0" borderId="7" xfId="0" applyFont="1" applyFill="1" applyBorder="1" applyAlignment="1"/>
    <xf numFmtId="15" fontId="2" fillId="0" borderId="5" xfId="0" applyNumberFormat="1" applyFont="1" applyFill="1" applyBorder="1" applyAlignment="1">
      <alignment horizontal="center"/>
    </xf>
    <xf numFmtId="9" fontId="2" fillId="0" borderId="5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left" vertical="center" indent="10"/>
    </xf>
    <xf numFmtId="0" fontId="8" fillId="0" borderId="5" xfId="0" applyFont="1" applyFill="1" applyBorder="1" applyAlignment="1">
      <alignment vertical="top" wrapText="1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left" indent="2"/>
    </xf>
    <xf numFmtId="0" fontId="2" fillId="0" borderId="5" xfId="0" applyFont="1" applyFill="1" applyBorder="1" applyAlignment="1">
      <alignment horizontal="left" indent="2"/>
    </xf>
    <xf numFmtId="15" fontId="2" fillId="0" borderId="0" xfId="0" applyNumberFormat="1" applyFont="1" applyFill="1" applyAlignment="1">
      <alignment horizontal="center"/>
    </xf>
    <xf numFmtId="0" fontId="4" fillId="0" borderId="0" xfId="0" applyFont="1" applyFill="1" applyAlignment="1"/>
    <xf numFmtId="0" fontId="2" fillId="0" borderId="0" xfId="0" applyFont="1" applyFill="1" applyAlignment="1">
      <alignment horizontal="left"/>
    </xf>
    <xf numFmtId="0" fontId="4" fillId="0" borderId="12" xfId="0" applyFont="1" applyFill="1" applyBorder="1" applyAlignment="1"/>
    <xf numFmtId="0" fontId="2" fillId="0" borderId="11" xfId="0" applyFont="1" applyFill="1" applyBorder="1" applyAlignment="1">
      <alignment horizontal="left"/>
    </xf>
    <xf numFmtId="0" fontId="2" fillId="0" borderId="0" xfId="0" applyFont="1" applyFill="1" applyBorder="1" applyAlignment="1">
      <alignment wrapText="1"/>
    </xf>
    <xf numFmtId="3" fontId="2" fillId="0" borderId="9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3" fontId="2" fillId="0" borderId="13" xfId="0" applyNumberFormat="1" applyFont="1" applyFill="1" applyBorder="1" applyAlignment="1">
      <alignment horizontal="right"/>
    </xf>
    <xf numFmtId="14" fontId="2" fillId="0" borderId="0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3" fontId="2" fillId="0" borderId="4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left" indent="1"/>
    </xf>
    <xf numFmtId="3" fontId="2" fillId="0" borderId="0" xfId="0" applyNumberFormat="1" applyFont="1" applyFill="1" applyAlignment="1">
      <alignment horizontal="center"/>
    </xf>
    <xf numFmtId="3" fontId="2" fillId="0" borderId="0" xfId="0" applyNumberFormat="1" applyFont="1" applyFill="1" applyAlignment="1">
      <alignment horizontal="right"/>
    </xf>
    <xf numFmtId="0" fontId="8" fillId="0" borderId="6" xfId="0" applyFont="1" applyFill="1" applyBorder="1" applyAlignment="1">
      <alignment horizontal="left" indent="1"/>
    </xf>
    <xf numFmtId="0" fontId="8" fillId="0" borderId="7" xfId="0" applyFont="1" applyFill="1" applyBorder="1" applyAlignment="1"/>
    <xf numFmtId="0" fontId="8" fillId="0" borderId="2" xfId="0" applyFont="1" applyFill="1" applyBorder="1" applyAlignment="1">
      <alignment horizontal="left" indent="1"/>
    </xf>
    <xf numFmtId="0" fontId="2" fillId="0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8" fillId="0" borderId="0" xfId="0" applyFont="1" applyFill="1" applyBorder="1" applyAlignment="1"/>
    <xf numFmtId="3" fontId="2" fillId="0" borderId="16" xfId="0" applyNumberFormat="1" applyFont="1" applyFill="1" applyBorder="1" applyAlignment="1">
      <alignment horizontal="right"/>
    </xf>
    <xf numFmtId="0" fontId="8" fillId="0" borderId="12" xfId="0" applyFont="1" applyFill="1" applyBorder="1" applyAlignment="1">
      <alignment horizontal="left" indent="1"/>
    </xf>
    <xf numFmtId="0" fontId="8" fillId="0" borderId="13" xfId="0" applyFont="1" applyFill="1" applyBorder="1" applyAlignment="1"/>
    <xf numFmtId="3" fontId="2" fillId="0" borderId="14" xfId="0" applyNumberFormat="1" applyFont="1" applyFill="1" applyBorder="1" applyAlignment="1">
      <alignment horizontal="right"/>
    </xf>
    <xf numFmtId="0" fontId="14" fillId="0" borderId="0" xfId="0" applyFont="1" applyFill="1" applyAlignment="1">
      <alignment horizontal="center" vertical="center"/>
    </xf>
    <xf numFmtId="3" fontId="2" fillId="0" borderId="17" xfId="0" applyNumberFormat="1" applyFont="1" applyFill="1" applyBorder="1" applyAlignment="1">
      <alignment horizontal="right"/>
    </xf>
    <xf numFmtId="0" fontId="2" fillId="0" borderId="18" xfId="0" applyFont="1" applyFill="1" applyBorder="1" applyAlignment="1"/>
    <xf numFmtId="0" fontId="2" fillId="0" borderId="3" xfId="0" applyFont="1" applyFill="1" applyBorder="1" applyAlignment="1"/>
    <xf numFmtId="3" fontId="4" fillId="0" borderId="15" xfId="0" applyNumberFormat="1" applyFont="1" applyFill="1" applyBorder="1" applyAlignment="1">
      <alignment horizontal="right"/>
    </xf>
    <xf numFmtId="0" fontId="15" fillId="0" borderId="3" xfId="0" applyFont="1" applyFill="1" applyBorder="1" applyAlignment="1">
      <alignment horizontal="center"/>
    </xf>
    <xf numFmtId="3" fontId="2" fillId="0" borderId="0" xfId="0" applyNumberFormat="1" applyFont="1" applyFill="1" applyAlignment="1"/>
    <xf numFmtId="3" fontId="2" fillId="0" borderId="0" xfId="0" applyNumberFormat="1" applyFont="1" applyFill="1" applyAlignment="1">
      <alignment horizontal="right" wrapText="1"/>
    </xf>
    <xf numFmtId="0" fontId="2" fillId="0" borderId="6" xfId="0" applyFont="1" applyFill="1" applyBorder="1" applyAlignment="1"/>
    <xf numFmtId="0" fontId="11" fillId="0" borderId="5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indent="1"/>
    </xf>
    <xf numFmtId="14" fontId="2" fillId="0" borderId="5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left" indent="2"/>
    </xf>
    <xf numFmtId="0" fontId="2" fillId="0" borderId="10" xfId="0" applyFont="1" applyFill="1" applyBorder="1" applyAlignment="1"/>
    <xf numFmtId="0" fontId="4" fillId="0" borderId="3" xfId="0" applyFont="1" applyFill="1" applyBorder="1" applyAlignment="1"/>
    <xf numFmtId="0" fontId="4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 indent="2"/>
    </xf>
    <xf numFmtId="0" fontId="2" fillId="0" borderId="0" xfId="0" applyFont="1" applyFill="1" applyAlignment="1">
      <alignment horizontal="left" wrapText="1" indent="1"/>
    </xf>
    <xf numFmtId="0" fontId="17" fillId="0" borderId="8" xfId="0" applyFont="1" applyFill="1" applyBorder="1" applyAlignment="1">
      <alignment horizontal="left" indent="1"/>
    </xf>
    <xf numFmtId="164" fontId="2" fillId="0" borderId="1" xfId="0" applyNumberFormat="1" applyFont="1" applyFill="1" applyBorder="1" applyAlignment="1">
      <alignment horizontal="center"/>
    </xf>
    <xf numFmtId="3" fontId="14" fillId="0" borderId="4" xfId="0" applyNumberFormat="1" applyFont="1" applyFill="1" applyBorder="1" applyAlignment="1">
      <alignment horizontal="center"/>
    </xf>
    <xf numFmtId="14" fontId="2" fillId="0" borderId="8" xfId="0" applyNumberFormat="1" applyFont="1" applyBorder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 applyAlignment="1"/>
    <xf numFmtId="0" fontId="20" fillId="0" borderId="0" xfId="0" applyFont="1" applyAlignment="1"/>
    <xf numFmtId="0" fontId="19" fillId="0" borderId="0" xfId="0" applyFont="1" applyFill="1" applyAlignment="1">
      <alignment horizontal="left" indent="1"/>
    </xf>
    <xf numFmtId="14" fontId="19" fillId="0" borderId="0" xfId="0" applyNumberFormat="1" applyFont="1" applyFill="1" applyAlignment="1">
      <alignment horizontal="left" indent="1"/>
    </xf>
    <xf numFmtId="3" fontId="19" fillId="0" borderId="0" xfId="0" applyNumberFormat="1" applyFont="1" applyFill="1" applyAlignment="1"/>
    <xf numFmtId="0" fontId="2" fillId="0" borderId="16" xfId="0" applyFont="1" applyFill="1" applyBorder="1" applyAlignment="1">
      <alignment horizontal="left" indent="1"/>
    </xf>
    <xf numFmtId="0" fontId="16" fillId="0" borderId="0" xfId="0" applyFont="1" applyFill="1"/>
    <xf numFmtId="3" fontId="16" fillId="0" borderId="0" xfId="0" applyNumberFormat="1" applyFont="1" applyFill="1"/>
    <xf numFmtId="9" fontId="16" fillId="0" borderId="5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left" indent="2"/>
    </xf>
    <xf numFmtId="0" fontId="2" fillId="0" borderId="5" xfId="0" applyFont="1" applyBorder="1" applyAlignment="1">
      <alignment horizontal="center"/>
    </xf>
    <xf numFmtId="0" fontId="2" fillId="0" borderId="6" xfId="0" applyFont="1" applyFill="1" applyBorder="1" applyAlignment="1">
      <alignment horizontal="left" indent="2"/>
    </xf>
    <xf numFmtId="0" fontId="2" fillId="0" borderId="5" xfId="0" applyFont="1" applyFill="1" applyBorder="1" applyAlignment="1">
      <alignment horizontal="center"/>
    </xf>
    <xf numFmtId="0" fontId="2" fillId="0" borderId="0" xfId="0" applyFont="1" applyFill="1" applyAlignment="1">
      <alignment horizontal="left" wrapText="1" indent="1"/>
    </xf>
    <xf numFmtId="15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 indent="1"/>
    </xf>
    <xf numFmtId="0" fontId="27" fillId="0" borderId="0" xfId="0" applyFont="1" applyBorder="1" applyAlignment="1">
      <alignment horizontal="left" indent="1"/>
    </xf>
    <xf numFmtId="0" fontId="2" fillId="0" borderId="0" xfId="0" applyFont="1" applyAlignment="1">
      <alignment horizontal="right"/>
    </xf>
    <xf numFmtId="3" fontId="31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left" wrapText="1" indent="1"/>
    </xf>
    <xf numFmtId="0" fontId="2" fillId="0" borderId="0" xfId="0" applyFont="1" applyAlignment="1">
      <alignment horizontal="left" wrapText="1" indent="1"/>
    </xf>
    <xf numFmtId="0" fontId="4" fillId="0" borderId="0" xfId="0" applyFont="1" applyAlignment="1">
      <alignment horizontal="left" wrapText="1"/>
    </xf>
    <xf numFmtId="0" fontId="1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8" fillId="0" borderId="0" xfId="0" applyFont="1" applyBorder="1" applyAlignment="1">
      <alignment horizontal="left" wrapText="1" indent="1"/>
    </xf>
    <xf numFmtId="0" fontId="28" fillId="0" borderId="0" xfId="0" applyFont="1" applyAlignment="1"/>
    <xf numFmtId="0" fontId="27" fillId="0" borderId="0" xfId="0" applyFont="1" applyAlignment="1">
      <alignment horizontal="left" indent="1"/>
    </xf>
    <xf numFmtId="0" fontId="12" fillId="0" borderId="0" xfId="0" applyFont="1" applyAlignment="1"/>
    <xf numFmtId="3" fontId="11" fillId="0" borderId="0" xfId="0" applyNumberFormat="1" applyFont="1" applyAlignment="1">
      <alignment horizontal="center"/>
    </xf>
    <xf numFmtId="9" fontId="2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3" fontId="2" fillId="0" borderId="0" xfId="0" applyNumberFormat="1" applyFont="1" applyFill="1" applyBorder="1" applyAlignment="1"/>
    <xf numFmtId="0" fontId="4" fillId="0" borderId="0" xfId="0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 indent="1"/>
    </xf>
    <xf numFmtId="0" fontId="2" fillId="0" borderId="0" xfId="0" applyFont="1" applyFill="1" applyAlignment="1">
      <alignment horizontal="left" wrapText="1" indent="1"/>
    </xf>
    <xf numFmtId="0" fontId="4" fillId="0" borderId="0" xfId="0" applyFont="1" applyFill="1" applyAlignment="1">
      <alignment horizontal="left" wrapText="1"/>
    </xf>
    <xf numFmtId="0" fontId="16" fillId="0" borderId="0" xfId="0" applyFont="1" applyAlignment="1"/>
    <xf numFmtId="0" fontId="11" fillId="0" borderId="0" xfId="0" applyFont="1" applyAlignment="1">
      <alignment horizontal="center"/>
    </xf>
    <xf numFmtId="15" fontId="2" fillId="0" borderId="0" xfId="0" applyNumberFormat="1" applyFont="1" applyFill="1" applyBorder="1" applyAlignment="1">
      <alignment horizontal="center"/>
    </xf>
    <xf numFmtId="9" fontId="2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right"/>
    </xf>
    <xf numFmtId="3" fontId="1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4" fontId="2" fillId="0" borderId="0" xfId="0" applyNumberFormat="1" applyFont="1" applyBorder="1" applyAlignment="1">
      <alignment horizontal="left"/>
    </xf>
    <xf numFmtId="0" fontId="34" fillId="0" borderId="0" xfId="0" applyFont="1" applyAlignment="1">
      <alignment horizontal="left"/>
    </xf>
    <xf numFmtId="0" fontId="27" fillId="0" borderId="0" xfId="0" applyFont="1" applyAlignment="1">
      <alignment horizontal="left" indent="3"/>
    </xf>
    <xf numFmtId="9" fontId="2" fillId="0" borderId="0" xfId="0" applyNumberFormat="1" applyFont="1" applyFill="1" applyBorder="1" applyAlignment="1"/>
    <xf numFmtId="0" fontId="36" fillId="0" borderId="0" xfId="0" applyFont="1" applyAlignment="1"/>
    <xf numFmtId="0" fontId="17" fillId="0" borderId="0" xfId="0" applyFont="1" applyAlignment="1">
      <alignment horizontal="center"/>
    </xf>
    <xf numFmtId="0" fontId="32" fillId="0" borderId="0" xfId="0" applyFont="1" applyAlignment="1"/>
    <xf numFmtId="0" fontId="8" fillId="0" borderId="0" xfId="0" applyFont="1" applyAlignment="1">
      <alignment horizontal="left" indent="2"/>
    </xf>
    <xf numFmtId="1" fontId="2" fillId="2" borderId="9" xfId="0" applyNumberFormat="1" applyFont="1" applyFill="1" applyBorder="1" applyAlignment="1">
      <alignment horizontal="right"/>
    </xf>
    <xf numFmtId="1" fontId="2" fillId="0" borderId="9" xfId="0" applyNumberFormat="1" applyFont="1" applyBorder="1" applyAlignment="1">
      <alignment horizontal="right"/>
    </xf>
    <xf numFmtId="1" fontId="2" fillId="0" borderId="4" xfId="0" applyNumberFormat="1" applyFont="1" applyBorder="1" applyAlignment="1">
      <alignment horizontal="right"/>
    </xf>
    <xf numFmtId="1" fontId="2" fillId="2" borderId="0" xfId="0" applyNumberFormat="1" applyFont="1" applyFill="1" applyAlignment="1">
      <alignment horizontal="right"/>
    </xf>
    <xf numFmtId="1" fontId="2" fillId="2" borderId="0" xfId="0" applyNumberFormat="1" applyFont="1" applyFill="1" applyBorder="1" applyAlignment="1">
      <alignment horizontal="right"/>
    </xf>
    <xf numFmtId="1" fontId="2" fillId="0" borderId="0" xfId="0" applyNumberFormat="1" applyFont="1" applyAlignment="1">
      <alignment horizontal="right"/>
    </xf>
    <xf numFmtId="1" fontId="2" fillId="0" borderId="5" xfId="0" applyNumberFormat="1" applyFont="1" applyBorder="1" applyAlignment="1">
      <alignment horizontal="right"/>
    </xf>
    <xf numFmtId="1" fontId="8" fillId="0" borderId="2" xfId="0" applyNumberFormat="1" applyFont="1" applyBorder="1" applyAlignment="1">
      <alignment horizontal="left" indent="1"/>
    </xf>
    <xf numFmtId="1" fontId="2" fillId="0" borderId="7" xfId="0" applyNumberFormat="1" applyFont="1" applyBorder="1" applyAlignment="1">
      <alignment horizontal="center"/>
    </xf>
    <xf numFmtId="1" fontId="2" fillId="2" borderId="5" xfId="0" applyNumberFormat="1" applyFont="1" applyFill="1" applyBorder="1" applyAlignment="1">
      <alignment horizontal="right"/>
    </xf>
    <xf numFmtId="1" fontId="2" fillId="0" borderId="2" xfId="0" applyNumberFormat="1" applyFont="1" applyBorder="1" applyAlignment="1">
      <alignment horizontal="center"/>
    </xf>
    <xf numFmtId="1" fontId="8" fillId="0" borderId="0" xfId="0" applyNumberFormat="1" applyFont="1" applyBorder="1" applyAlignment="1"/>
    <xf numFmtId="1" fontId="2" fillId="0" borderId="0" xfId="0" applyNumberFormat="1" applyFont="1" applyBorder="1" applyAlignment="1">
      <alignment horizontal="center"/>
    </xf>
    <xf numFmtId="1" fontId="2" fillId="0" borderId="16" xfId="0" applyNumberFormat="1" applyFont="1" applyBorder="1" applyAlignment="1">
      <alignment horizontal="right"/>
    </xf>
    <xf numFmtId="1" fontId="2" fillId="0" borderId="5" xfId="0" applyNumberFormat="1" applyFont="1" applyBorder="1" applyAlignment="1"/>
    <xf numFmtId="1" fontId="2" fillId="0" borderId="0" xfId="0" applyNumberFormat="1" applyFont="1" applyBorder="1" applyAlignment="1"/>
    <xf numFmtId="1" fontId="27" fillId="0" borderId="0" xfId="0" applyNumberFormat="1" applyFont="1" applyBorder="1" applyAlignment="1">
      <alignment horizontal="left" indent="1"/>
    </xf>
    <xf numFmtId="1" fontId="2" fillId="0" borderId="14" xfId="0" applyNumberFormat="1" applyFont="1" applyBorder="1" applyAlignment="1">
      <alignment horizontal="right"/>
    </xf>
    <xf numFmtId="1" fontId="14" fillId="0" borderId="0" xfId="0" applyNumberFormat="1" applyFont="1" applyAlignment="1">
      <alignment horizontal="center" vertical="center"/>
    </xf>
    <xf numFmtId="1" fontId="2" fillId="0" borderId="17" xfId="0" applyNumberFormat="1" applyFont="1" applyBorder="1" applyAlignment="1">
      <alignment horizontal="right"/>
    </xf>
    <xf numFmtId="1" fontId="4" fillId="0" borderId="15" xfId="0" applyNumberFormat="1" applyFont="1" applyBorder="1" applyAlignment="1">
      <alignment horizontal="right"/>
    </xf>
    <xf numFmtId="1" fontId="2" fillId="0" borderId="3" xfId="0" applyNumberFormat="1" applyFont="1" applyBorder="1" applyAlignment="1"/>
    <xf numFmtId="1" fontId="2" fillId="0" borderId="0" xfId="0" applyNumberFormat="1" applyFont="1" applyAlignment="1"/>
    <xf numFmtId="1" fontId="2" fillId="2" borderId="5" xfId="0" applyNumberFormat="1" applyFont="1" applyFill="1" applyBorder="1" applyAlignment="1"/>
    <xf numFmtId="1" fontId="2" fillId="0" borderId="5" xfId="0" applyNumberFormat="1" applyFont="1" applyFill="1" applyBorder="1" applyAlignment="1"/>
    <xf numFmtId="1" fontId="2" fillId="0" borderId="6" xfId="0" applyNumberFormat="1" applyFont="1" applyBorder="1" applyAlignment="1">
      <alignment horizontal="left" indent="1"/>
    </xf>
    <xf numFmtId="1" fontId="2" fillId="0" borderId="7" xfId="0" applyNumberFormat="1" applyFont="1" applyBorder="1" applyAlignment="1"/>
    <xf numFmtId="1" fontId="2" fillId="0" borderId="5" xfId="0" applyNumberFormat="1" applyFont="1" applyFill="1" applyBorder="1" applyAlignment="1">
      <alignment horizontal="right"/>
    </xf>
    <xf numFmtId="1" fontId="4" fillId="0" borderId="3" xfId="0" applyNumberFormat="1" applyFont="1" applyBorder="1" applyAlignment="1"/>
    <xf numFmtId="1" fontId="4" fillId="0" borderId="3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 wrapText="1" indent="1"/>
    </xf>
    <xf numFmtId="0" fontId="8" fillId="0" borderId="8" xfId="0" applyFont="1" applyBorder="1" applyAlignment="1">
      <alignment horizontal="left" indent="1"/>
    </xf>
    <xf numFmtId="1" fontId="2" fillId="2" borderId="5" xfId="0" applyNumberFormat="1" applyFont="1" applyFill="1" applyBorder="1" applyAlignment="1">
      <alignment horizontal="right" vertical="center"/>
    </xf>
    <xf numFmtId="1" fontId="2" fillId="0" borderId="1" xfId="0" applyNumberFormat="1" applyFont="1" applyBorder="1" applyAlignment="1"/>
    <xf numFmtId="1" fontId="4" fillId="0" borderId="0" xfId="0" applyNumberFormat="1" applyFont="1" applyAlignment="1"/>
    <xf numFmtId="1" fontId="12" fillId="0" borderId="0" xfId="0" applyNumberFormat="1" applyFont="1" applyAlignment="1"/>
    <xf numFmtId="2" fontId="2" fillId="0" borderId="0" xfId="0" applyNumberFormat="1" applyFont="1" applyAlignment="1"/>
    <xf numFmtId="1" fontId="4" fillId="0" borderId="0" xfId="0" applyNumberFormat="1" applyFont="1" applyBorder="1" applyAlignment="1"/>
    <xf numFmtId="1" fontId="33" fillId="0" borderId="0" xfId="0" applyNumberFormat="1" applyFont="1" applyAlignment="1">
      <alignment horizontal="right"/>
    </xf>
    <xf numFmtId="1" fontId="4" fillId="0" borderId="0" xfId="0" applyNumberFormat="1" applyFont="1" applyFill="1" applyAlignment="1"/>
    <xf numFmtId="1" fontId="32" fillId="3" borderId="19" xfId="0" applyNumberFormat="1" applyFont="1" applyFill="1" applyBorder="1" applyAlignment="1"/>
    <xf numFmtId="1" fontId="2" fillId="0" borderId="14" xfId="0" applyNumberFormat="1" applyFont="1" applyBorder="1" applyAlignment="1"/>
    <xf numFmtId="0" fontId="8" fillId="0" borderId="10" xfId="0" applyFont="1" applyBorder="1" applyAlignment="1">
      <alignment horizontal="left" indent="1"/>
    </xf>
    <xf numFmtId="0" fontId="8" fillId="0" borderId="4" xfId="0" applyFont="1" applyBorder="1" applyAlignment="1"/>
    <xf numFmtId="0" fontId="8" fillId="0" borderId="18" xfId="0" applyFont="1" applyBorder="1" applyAlignment="1">
      <alignment horizontal="left" indent="1"/>
    </xf>
    <xf numFmtId="0" fontId="8" fillId="0" borderId="20" xfId="0" applyFont="1" applyBorder="1" applyAlignment="1"/>
    <xf numFmtId="0" fontId="8" fillId="2" borderId="0" xfId="0" applyFont="1" applyFill="1" applyAlignment="1"/>
    <xf numFmtId="3" fontId="8" fillId="2" borderId="0" xfId="0" applyNumberFormat="1" applyFont="1" applyFill="1" applyAlignment="1"/>
    <xf numFmtId="0" fontId="8" fillId="2" borderId="0" xfId="0" applyFont="1" applyFill="1" applyAlignment="1">
      <alignment horizontal="center"/>
    </xf>
    <xf numFmtId="1" fontId="8" fillId="2" borderId="0" xfId="0" applyNumberFormat="1" applyFont="1" applyFill="1" applyAlignment="1"/>
    <xf numFmtId="3" fontId="37" fillId="2" borderId="0" xfId="0" applyNumberFormat="1" applyFont="1" applyFill="1" applyAlignment="1">
      <alignment horizontal="center"/>
    </xf>
    <xf numFmtId="1" fontId="8" fillId="2" borderId="0" xfId="0" applyNumberFormat="1" applyFont="1" applyFill="1" applyBorder="1" applyAlignment="1"/>
    <xf numFmtId="0" fontId="38" fillId="2" borderId="0" xfId="0" applyFont="1" applyFill="1" applyAlignment="1"/>
    <xf numFmtId="1" fontId="38" fillId="2" borderId="0" xfId="0" applyNumberFormat="1" applyFont="1" applyFill="1" applyAlignment="1">
      <alignment horizontal="left"/>
    </xf>
    <xf numFmtId="1" fontId="38" fillId="2" borderId="3" xfId="0" applyNumberFormat="1" applyFont="1" applyFill="1" applyBorder="1" applyAlignment="1">
      <alignment horizontal="left"/>
    </xf>
    <xf numFmtId="1" fontId="38" fillId="2" borderId="3" xfId="0" applyNumberFormat="1" applyFont="1" applyFill="1" applyBorder="1" applyAlignment="1"/>
    <xf numFmtId="0" fontId="13" fillId="0" borderId="0" xfId="0" applyFont="1" applyAlignment="1">
      <alignment horizontal="right"/>
    </xf>
    <xf numFmtId="1" fontId="4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1" fontId="32" fillId="0" borderId="15" xfId="0" applyNumberFormat="1" applyFont="1" applyBorder="1" applyAlignment="1"/>
    <xf numFmtId="1" fontId="39" fillId="0" borderId="3" xfId="0" applyNumberFormat="1" applyFont="1" applyBorder="1" applyAlignment="1"/>
    <xf numFmtId="1" fontId="32" fillId="0" borderId="3" xfId="0" applyNumberFormat="1" applyFont="1" applyBorder="1" applyAlignment="1">
      <alignment horizontal="center"/>
    </xf>
    <xf numFmtId="1" fontId="32" fillId="0" borderId="15" xfId="0" applyNumberFormat="1" applyFont="1" applyBorder="1" applyAlignment="1">
      <alignment horizontal="right"/>
    </xf>
    <xf numFmtId="1" fontId="28" fillId="0" borderId="3" xfId="0" applyNumberFormat="1" applyFont="1" applyBorder="1" applyAlignment="1"/>
    <xf numFmtId="1" fontId="40" fillId="0" borderId="3" xfId="0" applyNumberFormat="1" applyFont="1" applyBorder="1" applyAlignment="1">
      <alignment horizontal="center"/>
    </xf>
    <xf numFmtId="1" fontId="17" fillId="0" borderId="6" xfId="0" applyNumberFormat="1" applyFont="1" applyFill="1" applyBorder="1" applyAlignment="1">
      <alignment horizontal="left" indent="1"/>
    </xf>
    <xf numFmtId="1" fontId="17" fillId="0" borderId="7" xfId="0" applyNumberFormat="1" applyFont="1" applyFill="1" applyBorder="1" applyAlignment="1"/>
    <xf numFmtId="1" fontId="16" fillId="0" borderId="5" xfId="0" applyNumberFormat="1" applyFont="1" applyFill="1" applyBorder="1" applyAlignment="1">
      <alignment horizontal="right"/>
    </xf>
    <xf numFmtId="1" fontId="17" fillId="0" borderId="2" xfId="0" applyNumberFormat="1" applyFont="1" applyFill="1" applyBorder="1" applyAlignment="1">
      <alignment horizontal="left" indent="1"/>
    </xf>
    <xf numFmtId="1" fontId="16" fillId="0" borderId="7" xfId="0" applyNumberFormat="1" applyFont="1" applyFill="1" applyBorder="1" applyAlignment="1">
      <alignment horizontal="center"/>
    </xf>
    <xf numFmtId="1" fontId="16" fillId="0" borderId="2" xfId="0" applyNumberFormat="1" applyFont="1" applyFill="1" applyBorder="1" applyAlignment="1">
      <alignment horizontal="center"/>
    </xf>
    <xf numFmtId="1" fontId="17" fillId="0" borderId="0" xfId="0" applyNumberFormat="1" applyFont="1" applyFill="1" applyBorder="1" applyAlignment="1"/>
    <xf numFmtId="1" fontId="16" fillId="0" borderId="0" xfId="0" applyNumberFormat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right"/>
    </xf>
    <xf numFmtId="1" fontId="16" fillId="0" borderId="5" xfId="0" applyNumberFormat="1" applyFont="1" applyFill="1" applyBorder="1" applyAlignment="1"/>
    <xf numFmtId="1" fontId="16" fillId="0" borderId="0" xfId="0" applyNumberFormat="1" applyFont="1" applyFill="1" applyBorder="1" applyAlignment="1"/>
    <xf numFmtId="1" fontId="25" fillId="0" borderId="0" xfId="0" applyNumberFormat="1" applyFont="1" applyFill="1" applyAlignment="1">
      <alignment horizontal="center" vertical="center"/>
    </xf>
    <xf numFmtId="1" fontId="16" fillId="0" borderId="17" xfId="0" applyNumberFormat="1" applyFont="1" applyFill="1" applyBorder="1" applyAlignment="1">
      <alignment horizontal="right"/>
    </xf>
    <xf numFmtId="1" fontId="16" fillId="0" borderId="18" xfId="0" applyNumberFormat="1" applyFont="1" applyFill="1" applyBorder="1" applyAlignment="1"/>
    <xf numFmtId="1" fontId="16" fillId="0" borderId="3" xfId="0" applyNumberFormat="1" applyFont="1" applyFill="1" applyBorder="1" applyAlignment="1"/>
    <xf numFmtId="1" fontId="21" fillId="0" borderId="15" xfId="0" applyNumberFormat="1" applyFont="1" applyFill="1" applyBorder="1" applyAlignment="1">
      <alignment horizontal="right"/>
    </xf>
    <xf numFmtId="1" fontId="26" fillId="0" borderId="3" xfId="0" applyNumberFormat="1" applyFont="1" applyFill="1" applyBorder="1" applyAlignment="1">
      <alignment horizontal="center"/>
    </xf>
    <xf numFmtId="1" fontId="21" fillId="0" borderId="0" xfId="0" applyNumberFormat="1" applyFont="1" applyFill="1" applyAlignment="1"/>
    <xf numFmtId="1" fontId="16" fillId="0" borderId="0" xfId="0" applyNumberFormat="1" applyFont="1" applyFill="1" applyAlignment="1"/>
    <xf numFmtId="1" fontId="16" fillId="0" borderId="0" xfId="0" applyNumberFormat="1" applyFont="1" applyFill="1" applyAlignment="1">
      <alignment horizontal="left" indent="1"/>
    </xf>
    <xf numFmtId="1" fontId="16" fillId="0" borderId="0" xfId="0" applyNumberFormat="1" applyFont="1" applyFill="1" applyAlignment="1">
      <alignment horizontal="right" wrapText="1"/>
    </xf>
    <xf numFmtId="1" fontId="16" fillId="0" borderId="6" xfId="0" applyNumberFormat="1" applyFont="1" applyFill="1" applyBorder="1" applyAlignment="1"/>
    <xf numFmtId="1" fontId="16" fillId="0" borderId="2" xfId="0" applyNumberFormat="1" applyFont="1" applyFill="1" applyBorder="1" applyAlignment="1"/>
    <xf numFmtId="1" fontId="16" fillId="0" borderId="7" xfId="0" applyNumberFormat="1" applyFont="1" applyFill="1" applyBorder="1" applyAlignment="1"/>
    <xf numFmtId="1" fontId="22" fillId="0" borderId="5" xfId="0" applyNumberFormat="1" applyFont="1" applyFill="1" applyBorder="1" applyAlignment="1">
      <alignment horizontal="right" vertical="center"/>
    </xf>
    <xf numFmtId="1" fontId="16" fillId="0" borderId="5" xfId="0" applyNumberFormat="1" applyFont="1" applyFill="1" applyBorder="1" applyAlignment="1">
      <alignment horizontal="center" vertical="center"/>
    </xf>
    <xf numFmtId="1" fontId="16" fillId="0" borderId="6" xfId="0" applyNumberFormat="1" applyFont="1" applyFill="1" applyBorder="1" applyAlignment="1">
      <alignment horizontal="left" indent="1"/>
    </xf>
    <xf numFmtId="1" fontId="16" fillId="0" borderId="5" xfId="0" applyNumberFormat="1" applyFont="1" applyFill="1" applyBorder="1" applyAlignment="1">
      <alignment horizontal="center"/>
    </xf>
    <xf numFmtId="1" fontId="16" fillId="0" borderId="0" xfId="0" applyNumberFormat="1" applyFont="1" applyFill="1"/>
    <xf numFmtId="1" fontId="21" fillId="0" borderId="0" xfId="0" applyNumberFormat="1" applyFont="1" applyFill="1" applyAlignment="1">
      <alignment horizontal="left" indent="1"/>
    </xf>
    <xf numFmtId="1" fontId="16" fillId="0" borderId="0" xfId="0" applyNumberFormat="1" applyFont="1" applyFill="1" applyAlignment="1">
      <alignment horizontal="left"/>
    </xf>
    <xf numFmtId="1" fontId="16" fillId="0" borderId="0" xfId="0" applyNumberFormat="1" applyFont="1" applyFill="1" applyAlignment="1">
      <alignment horizontal="center"/>
    </xf>
    <xf numFmtId="1" fontId="16" fillId="0" borderId="1" xfId="0" applyNumberFormat="1" applyFont="1" applyFill="1" applyBorder="1" applyAlignment="1"/>
    <xf numFmtId="1" fontId="16" fillId="0" borderId="0" xfId="0" applyNumberFormat="1" applyFont="1" applyFill="1" applyAlignment="1">
      <alignment horizontal="right"/>
    </xf>
    <xf numFmtId="1" fontId="16" fillId="0" borderId="1" xfId="0" applyNumberFormat="1" applyFont="1" applyFill="1" applyBorder="1" applyAlignment="1">
      <alignment horizontal="right"/>
    </xf>
    <xf numFmtId="1" fontId="17" fillId="0" borderId="0" xfId="1" applyNumberFormat="1" applyFont="1" applyFill="1" applyAlignment="1">
      <alignment horizontal="center"/>
    </xf>
    <xf numFmtId="1" fontId="17" fillId="0" borderId="0" xfId="0" applyNumberFormat="1" applyFont="1" applyFill="1" applyAlignment="1">
      <alignment horizontal="center"/>
    </xf>
    <xf numFmtId="1" fontId="16" fillId="0" borderId="0" xfId="0" applyNumberFormat="1" applyFont="1" applyFill="1" applyBorder="1" applyAlignment="1">
      <alignment horizontal="left"/>
    </xf>
    <xf numFmtId="1" fontId="22" fillId="0" borderId="0" xfId="0" applyNumberFormat="1" applyFont="1" applyFill="1" applyAlignment="1"/>
    <xf numFmtId="1" fontId="2" fillId="0" borderId="0" xfId="0" applyNumberFormat="1" applyFont="1" applyAlignment="1">
      <alignment horizontal="center"/>
    </xf>
    <xf numFmtId="1" fontId="21" fillId="0" borderId="3" xfId="0" applyNumberFormat="1" applyFont="1" applyFill="1" applyBorder="1" applyAlignment="1"/>
    <xf numFmtId="1" fontId="13" fillId="0" borderId="0" xfId="0" applyNumberFormat="1" applyFont="1" applyFill="1" applyAlignment="1"/>
    <xf numFmtId="1" fontId="16" fillId="0" borderId="0" xfId="0" applyNumberFormat="1" applyFont="1" applyFill="1" applyAlignment="1">
      <alignment horizontal="left" indent="2"/>
    </xf>
    <xf numFmtId="1" fontId="21" fillId="0" borderId="0" xfId="0" applyNumberFormat="1" applyFont="1" applyFill="1" applyBorder="1" applyAlignment="1"/>
    <xf numFmtId="1" fontId="21" fillId="3" borderId="3" xfId="0" applyNumberFormat="1" applyFont="1" applyFill="1" applyBorder="1" applyAlignment="1"/>
    <xf numFmtId="1" fontId="16" fillId="0" borderId="13" xfId="0" applyNumberFormat="1" applyFont="1" applyFill="1" applyBorder="1" applyAlignment="1">
      <alignment horizontal="right"/>
    </xf>
    <xf numFmtId="1" fontId="16" fillId="0" borderId="9" xfId="0" applyNumberFormat="1" applyFont="1" applyFill="1" applyBorder="1" applyAlignment="1">
      <alignment horizontal="right"/>
    </xf>
    <xf numFmtId="1" fontId="16" fillId="0" borderId="4" xfId="0" applyNumberFormat="1" applyFont="1" applyFill="1" applyBorder="1" applyAlignment="1">
      <alignment horizontal="right"/>
    </xf>
    <xf numFmtId="1" fontId="12" fillId="0" borderId="0" xfId="0" applyNumberFormat="1" applyFont="1" applyAlignment="1">
      <alignment horizontal="center"/>
    </xf>
    <xf numFmtId="1" fontId="28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left" wrapText="1"/>
    </xf>
    <xf numFmtId="1" fontId="16" fillId="0" borderId="12" xfId="0" applyNumberFormat="1" applyFont="1" applyFill="1" applyBorder="1" applyAlignment="1">
      <alignment horizontal="left" indent="1"/>
    </xf>
    <xf numFmtId="1" fontId="16" fillId="0" borderId="11" xfId="0" applyNumberFormat="1" applyFont="1" applyFill="1" applyBorder="1" applyAlignment="1"/>
    <xf numFmtId="1" fontId="16" fillId="0" borderId="13" xfId="0" applyNumberFormat="1" applyFont="1" applyFill="1" applyBorder="1" applyAlignment="1"/>
    <xf numFmtId="1" fontId="16" fillId="0" borderId="11" xfId="0" applyNumberFormat="1" applyFont="1" applyFill="1" applyBorder="1" applyAlignment="1">
      <alignment horizontal="left" indent="1"/>
    </xf>
    <xf numFmtId="1" fontId="16" fillId="0" borderId="13" xfId="0" applyNumberFormat="1" applyFont="1" applyFill="1" applyBorder="1" applyAlignment="1">
      <alignment horizontal="left" indent="1"/>
    </xf>
    <xf numFmtId="1" fontId="16" fillId="0" borderId="0" xfId="0" applyNumberFormat="1" applyFont="1" applyFill="1" applyBorder="1" applyAlignment="1">
      <alignment horizontal="left" indent="1"/>
    </xf>
    <xf numFmtId="1" fontId="16" fillId="0" borderId="8" xfId="0" applyNumberFormat="1" applyFont="1" applyFill="1" applyBorder="1" applyAlignment="1">
      <alignment horizontal="left" vertical="center" indent="1"/>
    </xf>
    <xf numFmtId="1" fontId="16" fillId="0" borderId="9" xfId="0" applyNumberFormat="1" applyFont="1" applyFill="1" applyBorder="1" applyAlignment="1"/>
    <xf numFmtId="1" fontId="16" fillId="0" borderId="8" xfId="0" applyNumberFormat="1" applyFont="1" applyFill="1" applyBorder="1" applyAlignment="1">
      <alignment horizontal="left" indent="1"/>
    </xf>
    <xf numFmtId="1" fontId="16" fillId="0" borderId="9" xfId="0" applyNumberFormat="1" applyFont="1" applyFill="1" applyBorder="1" applyAlignment="1">
      <alignment horizontal="left" indent="1"/>
    </xf>
    <xf numFmtId="1" fontId="22" fillId="0" borderId="0" xfId="0" applyNumberFormat="1" applyFont="1" applyFill="1" applyBorder="1" applyAlignment="1">
      <alignment horizontal="left" wrapText="1" indent="1"/>
    </xf>
    <xf numFmtId="1" fontId="0" fillId="0" borderId="8" xfId="0" applyNumberFormat="1" applyBorder="1" applyAlignment="1">
      <alignment horizontal="left" indent="1"/>
    </xf>
    <xf numFmtId="1" fontId="23" fillId="0" borderId="0" xfId="1" applyNumberFormat="1" applyFont="1" applyFill="1" applyBorder="1" applyAlignment="1">
      <alignment horizontal="left" indent="1"/>
    </xf>
    <xf numFmtId="1" fontId="23" fillId="0" borderId="9" xfId="1" applyNumberFormat="1" applyFont="1" applyFill="1" applyBorder="1" applyAlignment="1">
      <alignment horizontal="left" indent="1"/>
    </xf>
    <xf numFmtId="1" fontId="22" fillId="0" borderId="8" xfId="0" applyNumberFormat="1" applyFont="1" applyFill="1" applyBorder="1" applyAlignment="1">
      <alignment horizontal="left" indent="1"/>
    </xf>
    <xf numFmtId="1" fontId="17" fillId="0" borderId="8" xfId="0" applyNumberFormat="1" applyFont="1" applyFill="1" applyBorder="1" applyAlignment="1">
      <alignment horizontal="left" vertical="center" indent="1"/>
    </xf>
    <xf numFmtId="1" fontId="16" fillId="0" borderId="0" xfId="0" applyNumberFormat="1" applyFont="1" applyFill="1" applyBorder="1" applyAlignment="1">
      <alignment horizontal="left" wrapText="1" indent="1"/>
    </xf>
    <xf numFmtId="1" fontId="16" fillId="0" borderId="10" xfId="0" applyNumberFormat="1" applyFont="1" applyFill="1" applyBorder="1" applyAlignment="1">
      <alignment horizontal="left" indent="1"/>
    </xf>
    <xf numFmtId="1" fontId="16" fillId="0" borderId="4" xfId="0" applyNumberFormat="1" applyFont="1" applyFill="1" applyBorder="1" applyAlignment="1"/>
    <xf numFmtId="1" fontId="16" fillId="0" borderId="1" xfId="0" applyNumberFormat="1" applyFont="1" applyFill="1" applyBorder="1" applyAlignment="1">
      <alignment horizontal="left" indent="1"/>
    </xf>
    <xf numFmtId="1" fontId="16" fillId="0" borderId="4" xfId="0" applyNumberFormat="1" applyFont="1" applyFill="1" applyBorder="1" applyAlignment="1">
      <alignment horizontal="left" indent="1"/>
    </xf>
    <xf numFmtId="1" fontId="16" fillId="0" borderId="6" xfId="0" applyNumberFormat="1" applyFont="1" applyFill="1" applyBorder="1" applyAlignment="1">
      <alignment horizontal="left" indent="10"/>
    </xf>
    <xf numFmtId="1" fontId="17" fillId="0" borderId="5" xfId="0" applyNumberFormat="1" applyFont="1" applyFill="1" applyBorder="1" applyAlignment="1">
      <alignment horizontal="center"/>
    </xf>
    <xf numFmtId="1" fontId="16" fillId="0" borderId="6" xfId="0" applyNumberFormat="1" applyFont="1" applyFill="1" applyBorder="1" applyAlignment="1">
      <alignment horizontal="left" vertical="center" indent="10"/>
    </xf>
    <xf numFmtId="1" fontId="17" fillId="0" borderId="5" xfId="0" applyNumberFormat="1" applyFont="1" applyFill="1" applyBorder="1" applyAlignment="1">
      <alignment vertical="top" wrapText="1"/>
    </xf>
    <xf numFmtId="1" fontId="17" fillId="0" borderId="0" xfId="0" applyNumberFormat="1" applyFont="1" applyFill="1" applyBorder="1" applyAlignment="1">
      <alignment vertical="top" wrapText="1"/>
    </xf>
    <xf numFmtId="1" fontId="16" fillId="0" borderId="10" xfId="0" applyNumberFormat="1" applyFont="1" applyFill="1" applyBorder="1" applyAlignment="1">
      <alignment horizontal="left" indent="10"/>
    </xf>
    <xf numFmtId="1" fontId="16" fillId="0" borderId="6" xfId="0" applyNumberFormat="1" applyFont="1" applyFill="1" applyBorder="1" applyAlignment="1">
      <alignment horizontal="left" indent="2"/>
    </xf>
    <xf numFmtId="1" fontId="16" fillId="0" borderId="2" xfId="0" applyNumberFormat="1" applyFont="1" applyFill="1" applyBorder="1" applyAlignment="1">
      <alignment horizontal="left" indent="2"/>
    </xf>
    <xf numFmtId="1" fontId="24" fillId="0" borderId="0" xfId="0" applyNumberFormat="1" applyFont="1" applyFill="1" applyBorder="1" applyAlignment="1">
      <alignment horizontal="center"/>
    </xf>
    <xf numFmtId="1" fontId="16" fillId="0" borderId="5" xfId="0" applyNumberFormat="1" applyFont="1" applyFill="1" applyBorder="1" applyAlignment="1">
      <alignment horizontal="left" indent="2"/>
    </xf>
    <xf numFmtId="1" fontId="21" fillId="0" borderId="12" xfId="0" applyNumberFormat="1" applyFont="1" applyFill="1" applyBorder="1" applyAlignment="1"/>
    <xf numFmtId="1" fontId="16" fillId="0" borderId="11" xfId="0" applyNumberFormat="1" applyFont="1" applyFill="1" applyBorder="1" applyAlignment="1">
      <alignment horizontal="left"/>
    </xf>
    <xf numFmtId="1" fontId="16" fillId="0" borderId="0" xfId="0" applyNumberFormat="1" applyFont="1" applyFill="1" applyBorder="1" applyAlignment="1">
      <alignment wrapText="1"/>
    </xf>
    <xf numFmtId="1" fontId="16" fillId="0" borderId="0" xfId="0" applyNumberFormat="1" applyFont="1" applyFill="1" applyBorder="1" applyAlignment="1">
      <alignment horizontal="right"/>
    </xf>
    <xf numFmtId="1" fontId="16" fillId="0" borderId="1" xfId="0" applyNumberFormat="1" applyFont="1" applyFill="1" applyBorder="1" applyAlignment="1">
      <alignment horizontal="center"/>
    </xf>
    <xf numFmtId="1" fontId="25" fillId="0" borderId="4" xfId="0" applyNumberFormat="1" applyFont="1" applyFill="1" applyBorder="1" applyAlignment="1">
      <alignment horizontal="left"/>
    </xf>
    <xf numFmtId="1" fontId="25" fillId="0" borderId="0" xfId="0" applyNumberFormat="1" applyFont="1" applyFill="1" applyBorder="1" applyAlignment="1">
      <alignment horizontal="left"/>
    </xf>
    <xf numFmtId="1" fontId="16" fillId="0" borderId="11" xfId="0" applyNumberFormat="1" applyFont="1" applyFill="1" applyBorder="1" applyAlignment="1">
      <alignment horizontal="center"/>
    </xf>
    <xf numFmtId="1" fontId="41" fillId="0" borderId="0" xfId="0" applyNumberFormat="1" applyFont="1" applyFill="1" applyBorder="1" applyAlignment="1"/>
    <xf numFmtId="1" fontId="42" fillId="0" borderId="0" xfId="0" applyNumberFormat="1" applyFont="1" applyFill="1" applyAlignment="1"/>
    <xf numFmtId="1" fontId="16" fillId="0" borderId="0" xfId="0" applyNumberFormat="1" applyFont="1" applyFill="1" applyBorder="1" applyAlignment="1">
      <alignment horizontal="center" wrapText="1"/>
    </xf>
    <xf numFmtId="1" fontId="21" fillId="0" borderId="0" xfId="0" applyNumberFormat="1" applyFont="1" applyFill="1" applyBorder="1" applyAlignment="1">
      <alignment horizontal="center"/>
    </xf>
    <xf numFmtId="1" fontId="21" fillId="0" borderId="0" xfId="0" applyNumberFormat="1" applyFont="1" applyFill="1" applyBorder="1" applyAlignment="1">
      <alignment horizontal="right"/>
    </xf>
    <xf numFmtId="1" fontId="16" fillId="0" borderId="0" xfId="0" applyNumberFormat="1" applyFont="1" applyFill="1" applyBorder="1" applyAlignment="1">
      <alignment horizontal="center" vertical="center"/>
    </xf>
    <xf numFmtId="1" fontId="16" fillId="0" borderId="0" xfId="0" applyNumberFormat="1" applyFont="1" applyFill="1" applyAlignment="1">
      <alignment horizontal="left" wrapText="1" indent="1"/>
    </xf>
    <xf numFmtId="1" fontId="21" fillId="0" borderId="0" xfId="0" applyNumberFormat="1" applyFont="1" applyFill="1" applyBorder="1" applyAlignment="1">
      <alignment horizontal="center" vertical="center"/>
    </xf>
    <xf numFmtId="1" fontId="16" fillId="0" borderId="10" xfId="0" applyNumberFormat="1" applyFont="1" applyFill="1" applyBorder="1" applyAlignment="1"/>
    <xf numFmtId="1" fontId="21" fillId="0" borderId="3" xfId="0" applyNumberFormat="1" applyFont="1" applyFill="1" applyBorder="1" applyAlignment="1">
      <alignment horizontal="center"/>
    </xf>
    <xf numFmtId="165" fontId="16" fillId="0" borderId="0" xfId="0" applyNumberFormat="1" applyFont="1" applyFill="1" applyBorder="1" applyAlignment="1">
      <alignment horizontal="center"/>
    </xf>
    <xf numFmtId="165" fontId="16" fillId="0" borderId="0" xfId="0" applyNumberFormat="1" applyFont="1" applyFill="1" applyBorder="1" applyAlignment="1"/>
    <xf numFmtId="165" fontId="16" fillId="0" borderId="1" xfId="0" applyNumberFormat="1" applyFont="1" applyFill="1" applyBorder="1" applyAlignment="1">
      <alignment horizontal="center"/>
    </xf>
    <xf numFmtId="1" fontId="17" fillId="0" borderId="10" xfId="0" applyNumberFormat="1" applyFont="1" applyFill="1" applyBorder="1" applyAlignment="1">
      <alignment horizontal="left" indent="1"/>
    </xf>
    <xf numFmtId="1" fontId="17" fillId="0" borderId="4" xfId="0" applyNumberFormat="1" applyFont="1" applyFill="1" applyBorder="1" applyAlignment="1"/>
    <xf numFmtId="1" fontId="17" fillId="0" borderId="18" xfId="0" applyNumberFormat="1" applyFont="1" applyFill="1" applyBorder="1" applyAlignment="1">
      <alignment horizontal="left" indent="1"/>
    </xf>
    <xf numFmtId="1" fontId="17" fillId="0" borderId="20" xfId="0" applyNumberFormat="1" applyFont="1" applyFill="1" applyBorder="1" applyAlignment="1"/>
    <xf numFmtId="1" fontId="17" fillId="0" borderId="3" xfId="0" applyNumberFormat="1" applyFont="1" applyFill="1" applyBorder="1" applyAlignment="1"/>
    <xf numFmtId="1" fontId="16" fillId="0" borderId="3" xfId="0" applyNumberFormat="1" applyFont="1" applyFill="1" applyBorder="1" applyAlignment="1">
      <alignment horizontal="center"/>
    </xf>
    <xf numFmtId="1" fontId="39" fillId="0" borderId="12" xfId="0" applyNumberFormat="1" applyFont="1" applyFill="1" applyBorder="1" applyAlignment="1">
      <alignment horizontal="left" indent="1"/>
    </xf>
    <xf numFmtId="1" fontId="18" fillId="0" borderId="13" xfId="0" applyNumberFormat="1" applyFont="1" applyFill="1" applyBorder="1" applyAlignment="1"/>
    <xf numFmtId="1" fontId="32" fillId="0" borderId="14" xfId="0" applyNumberFormat="1" applyFont="1" applyFill="1" applyBorder="1" applyAlignment="1"/>
    <xf numFmtId="1" fontId="28" fillId="0" borderId="0" xfId="0" applyNumberFormat="1" applyFont="1" applyFill="1" applyBorder="1" applyAlignment="1"/>
    <xf numFmtId="1" fontId="28" fillId="0" borderId="0" xfId="0" applyNumberFormat="1" applyFont="1" applyFill="1" applyBorder="1" applyAlignment="1">
      <alignment horizontal="center"/>
    </xf>
    <xf numFmtId="1" fontId="28" fillId="0" borderId="16" xfId="0" applyNumberFormat="1" applyFont="1" applyFill="1" applyBorder="1" applyAlignment="1">
      <alignment horizontal="right"/>
    </xf>
    <xf numFmtId="1" fontId="21" fillId="3" borderId="15" xfId="0" applyNumberFormat="1" applyFont="1" applyFill="1" applyBorder="1" applyAlignment="1"/>
    <xf numFmtId="1" fontId="21" fillId="3" borderId="15" xfId="0" applyNumberFormat="1" applyFont="1" applyFill="1" applyBorder="1" applyAlignment="1">
      <alignment horizontal="right"/>
    </xf>
    <xf numFmtId="1" fontId="39" fillId="0" borderId="13" xfId="0" applyNumberFormat="1" applyFont="1" applyFill="1" applyBorder="1" applyAlignment="1"/>
    <xf numFmtId="1" fontId="32" fillId="0" borderId="14" xfId="0" applyNumberFormat="1" applyFont="1" applyFill="1" applyBorder="1" applyAlignment="1">
      <alignment horizontal="right"/>
    </xf>
    <xf numFmtId="165" fontId="16" fillId="0" borderId="5" xfId="0" applyNumberFormat="1" applyFont="1" applyFill="1" applyBorder="1" applyAlignment="1">
      <alignment horizontal="center"/>
    </xf>
    <xf numFmtId="9" fontId="21" fillId="0" borderId="0" xfId="0" applyNumberFormat="1" applyFont="1" applyFill="1" applyAlignment="1">
      <alignment horizontal="center"/>
    </xf>
    <xf numFmtId="9" fontId="16" fillId="0" borderId="0" xfId="4" applyFont="1" applyFill="1" applyAlignment="1"/>
    <xf numFmtId="9" fontId="16" fillId="0" borderId="0" xfId="4" applyFont="1" applyFill="1" applyAlignment="1">
      <alignment horizontal="center"/>
    </xf>
    <xf numFmtId="1" fontId="32" fillId="0" borderId="0" xfId="0" applyNumberFormat="1" applyFont="1" applyFill="1" applyAlignment="1"/>
    <xf numFmtId="9" fontId="28" fillId="0" borderId="0" xfId="4" applyFont="1" applyFill="1" applyAlignment="1"/>
    <xf numFmtId="1" fontId="32" fillId="0" borderId="0" xfId="0" applyNumberFormat="1" applyFont="1" applyFill="1" applyAlignment="1">
      <alignment horizontal="right"/>
    </xf>
    <xf numFmtId="14" fontId="27" fillId="0" borderId="0" xfId="0" applyNumberFormat="1" applyFont="1" applyFill="1" applyBorder="1" applyAlignment="1">
      <alignment horizontal="center"/>
    </xf>
    <xf numFmtId="0" fontId="27" fillId="0" borderId="0" xfId="0" applyFont="1" applyFill="1" applyBorder="1" applyAlignment="1"/>
    <xf numFmtId="14" fontId="27" fillId="0" borderId="1" xfId="0" applyNumberFormat="1" applyFont="1" applyFill="1" applyBorder="1" applyAlignment="1">
      <alignment horizontal="center"/>
    </xf>
    <xf numFmtId="0" fontId="2" fillId="0" borderId="5" xfId="0" applyFont="1" applyFill="1" applyBorder="1" applyAlignment="1"/>
    <xf numFmtId="0" fontId="30" fillId="0" borderId="0" xfId="0" applyFont="1" applyFill="1" applyBorder="1" applyAlignment="1"/>
    <xf numFmtId="1" fontId="4" fillId="0" borderId="15" xfId="0" applyNumberFormat="1" applyFont="1" applyFill="1" applyBorder="1" applyAlignment="1">
      <alignment horizontal="right"/>
    </xf>
    <xf numFmtId="1" fontId="2" fillId="0" borderId="0" xfId="0" applyNumberFormat="1" applyFont="1" applyFill="1" applyAlignment="1"/>
    <xf numFmtId="1" fontId="19" fillId="0" borderId="0" xfId="0" applyNumberFormat="1" applyFont="1" applyFill="1" applyAlignment="1"/>
    <xf numFmtId="1" fontId="2" fillId="0" borderId="0" xfId="0" applyNumberFormat="1" applyFont="1" applyFill="1" applyAlignment="1">
      <alignment horizontal="right" wrapText="1"/>
    </xf>
    <xf numFmtId="1" fontId="13" fillId="0" borderId="14" xfId="0" applyNumberFormat="1" applyFont="1" applyFill="1" applyBorder="1" applyAlignment="1">
      <alignment horizontal="right"/>
    </xf>
    <xf numFmtId="1" fontId="2" fillId="0" borderId="16" xfId="0" applyNumberFormat="1" applyFont="1" applyFill="1" applyBorder="1" applyAlignment="1">
      <alignment horizontal="right"/>
    </xf>
    <xf numFmtId="1" fontId="2" fillId="0" borderId="17" xfId="0" applyNumberFormat="1" applyFont="1" applyFill="1" applyBorder="1" applyAlignment="1">
      <alignment horizontal="right"/>
    </xf>
    <xf numFmtId="1" fontId="2" fillId="0" borderId="9" xfId="0" applyNumberFormat="1" applyFont="1" applyFill="1" applyBorder="1" applyAlignment="1">
      <alignment horizontal="right"/>
    </xf>
    <xf numFmtId="1" fontId="2" fillId="0" borderId="4" xfId="0" applyNumberFormat="1" applyFont="1" applyFill="1" applyBorder="1" applyAlignment="1">
      <alignment horizontal="right"/>
    </xf>
    <xf numFmtId="1" fontId="2" fillId="0" borderId="13" xfId="0" applyNumberFormat="1" applyFont="1" applyFill="1" applyBorder="1" applyAlignment="1">
      <alignment horizontal="right"/>
    </xf>
    <xf numFmtId="1" fontId="2" fillId="0" borderId="0" xfId="0" applyNumberFormat="1" applyFont="1" applyFill="1" applyAlignment="1">
      <alignment horizontal="right"/>
    </xf>
    <xf numFmtId="1" fontId="14" fillId="0" borderId="4" xfId="0" applyNumberFormat="1" applyFont="1" applyFill="1" applyBorder="1" applyAlignment="1">
      <alignment horizontal="center"/>
    </xf>
    <xf numFmtId="1" fontId="4" fillId="3" borderId="3" xfId="0" applyNumberFormat="1" applyFont="1" applyFill="1" applyBorder="1" applyAlignment="1"/>
    <xf numFmtId="1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1" fontId="28" fillId="0" borderId="0" xfId="0" applyNumberFormat="1" applyFont="1" applyAlignment="1">
      <alignment horizontal="center"/>
    </xf>
    <xf numFmtId="1" fontId="16" fillId="0" borderId="6" xfId="0" applyNumberFormat="1" applyFont="1" applyFill="1" applyBorder="1" applyAlignment="1">
      <alignment horizontal="left" indent="2"/>
    </xf>
    <xf numFmtId="0" fontId="2" fillId="0" borderId="6" xfId="0" applyFont="1" applyFill="1" applyBorder="1" applyAlignment="1">
      <alignment horizontal="left" indent="2"/>
    </xf>
    <xf numFmtId="1" fontId="16" fillId="0" borderId="2" xfId="0" applyNumberFormat="1" applyFont="1" applyFill="1" applyBorder="1" applyAlignment="1">
      <alignment horizontal="left" indent="1"/>
    </xf>
    <xf numFmtId="1" fontId="16" fillId="0" borderId="14" xfId="0" applyNumberFormat="1" applyFont="1" applyFill="1" applyBorder="1" applyAlignment="1">
      <alignment horizontal="right"/>
    </xf>
    <xf numFmtId="1" fontId="16" fillId="0" borderId="10" xfId="0" applyNumberFormat="1" applyFont="1" applyFill="1" applyBorder="1" applyAlignment="1">
      <alignment horizontal="left" vertical="top" indent="1"/>
    </xf>
    <xf numFmtId="1" fontId="39" fillId="0" borderId="0" xfId="0" applyNumberFormat="1" applyFont="1" applyFill="1" applyAlignment="1">
      <alignment horizontal="left"/>
    </xf>
    <xf numFmtId="0" fontId="32" fillId="0" borderId="0" xfId="0" applyFont="1" applyFill="1" applyAlignment="1"/>
    <xf numFmtId="0" fontId="4" fillId="0" borderId="0" xfId="0" applyFont="1" applyFill="1" applyAlignment="1">
      <alignment horizontal="left" indent="1"/>
    </xf>
    <xf numFmtId="1" fontId="2" fillId="0" borderId="7" xfId="0" applyNumberFormat="1" applyFont="1" applyFill="1" applyBorder="1" applyAlignment="1">
      <alignment horizontal="right"/>
    </xf>
    <xf numFmtId="0" fontId="2" fillId="0" borderId="17" xfId="0" applyFont="1" applyFill="1" applyBorder="1" applyAlignment="1">
      <alignment horizontal="left" indent="2"/>
    </xf>
    <xf numFmtId="0" fontId="2" fillId="0" borderId="17" xfId="0" applyFont="1" applyFill="1" applyBorder="1" applyAlignment="1"/>
    <xf numFmtId="1" fontId="2" fillId="0" borderId="14" xfId="0" applyNumberFormat="1" applyFont="1" applyFill="1" applyBorder="1" applyAlignment="1"/>
    <xf numFmtId="0" fontId="8" fillId="0" borderId="10" xfId="0" applyFont="1" applyFill="1" applyBorder="1" applyAlignment="1">
      <alignment horizontal="left" indent="1"/>
    </xf>
    <xf numFmtId="0" fontId="8" fillId="0" borderId="4" xfId="0" applyFont="1" applyFill="1" applyBorder="1" applyAlignment="1"/>
    <xf numFmtId="0" fontId="8" fillId="0" borderId="18" xfId="0" applyFont="1" applyFill="1" applyBorder="1" applyAlignment="1">
      <alignment horizontal="left" indent="1"/>
    </xf>
    <xf numFmtId="0" fontId="8" fillId="0" borderId="20" xfId="0" applyFont="1" applyFill="1" applyBorder="1" applyAlignment="1"/>
    <xf numFmtId="0" fontId="8" fillId="0" borderId="3" xfId="0" applyFont="1" applyFill="1" applyBorder="1" applyAlignment="1"/>
    <xf numFmtId="3" fontId="2" fillId="0" borderId="3" xfId="0" applyNumberFormat="1" applyFont="1" applyFill="1" applyBorder="1" applyAlignment="1">
      <alignment horizontal="center"/>
    </xf>
    <xf numFmtId="1" fontId="4" fillId="3" borderId="15" xfId="0" applyNumberFormat="1" applyFont="1" applyFill="1" applyBorder="1" applyAlignment="1">
      <alignment horizontal="right"/>
    </xf>
    <xf numFmtId="1" fontId="4" fillId="3" borderId="15" xfId="0" applyNumberFormat="1" applyFont="1" applyFill="1" applyBorder="1" applyAlignment="1"/>
    <xf numFmtId="0" fontId="34" fillId="0" borderId="13" xfId="0" applyFont="1" applyFill="1" applyBorder="1" applyAlignment="1"/>
    <xf numFmtId="1" fontId="32" fillId="0" borderId="16" xfId="0" applyNumberFormat="1" applyFont="1" applyFill="1" applyBorder="1" applyAlignment="1">
      <alignment horizontal="right"/>
    </xf>
    <xf numFmtId="0" fontId="39" fillId="0" borderId="12" xfId="0" applyFont="1" applyFill="1" applyBorder="1" applyAlignment="1">
      <alignment horizontal="left" indent="1"/>
    </xf>
    <xf numFmtId="0" fontId="43" fillId="0" borderId="12" xfId="0" applyFont="1" applyFill="1" applyBorder="1" applyAlignment="1">
      <alignment horizontal="left" indent="1"/>
    </xf>
    <xf numFmtId="0" fontId="32" fillId="0" borderId="0" xfId="0" applyFont="1" applyFill="1" applyBorder="1" applyAlignment="1"/>
    <xf numFmtId="0" fontId="31" fillId="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right" vertical="center"/>
    </xf>
    <xf numFmtId="1" fontId="37" fillId="0" borderId="0" xfId="0" applyNumberFormat="1" applyFont="1" applyFill="1" applyBorder="1" applyAlignment="1">
      <alignment horizontal="right" indent="7"/>
    </xf>
    <xf numFmtId="1" fontId="37" fillId="0" borderId="0" xfId="0" applyNumberFormat="1" applyFont="1" applyFill="1" applyBorder="1" applyAlignment="1">
      <alignment horizontal="right" vertical="center" indent="7"/>
    </xf>
    <xf numFmtId="9" fontId="32" fillId="0" borderId="0" xfId="0" applyNumberFormat="1" applyFont="1" applyAlignment="1">
      <alignment horizontal="center"/>
    </xf>
    <xf numFmtId="1" fontId="4" fillId="3" borderId="0" xfId="0" applyNumberFormat="1" applyFont="1" applyFill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left" wrapText="1" indent="1"/>
    </xf>
    <xf numFmtId="0" fontId="2" fillId="0" borderId="0" xfId="0" applyFont="1" applyBorder="1" applyAlignment="1">
      <alignment horizontal="left" wrapText="1" indent="1"/>
    </xf>
    <xf numFmtId="0" fontId="2" fillId="0" borderId="12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0" fontId="4" fillId="0" borderId="5" xfId="0" applyFont="1" applyBorder="1" applyAlignment="1">
      <alignment horizontal="center"/>
    </xf>
    <xf numFmtId="0" fontId="8" fillId="0" borderId="6" xfId="0" applyFont="1" applyBorder="1" applyAlignment="1">
      <alignment horizontal="left" wrapText="1" indent="1"/>
    </xf>
    <xf numFmtId="0" fontId="8" fillId="0" borderId="7" xfId="0" applyFont="1" applyBorder="1" applyAlignment="1">
      <alignment horizontal="left" wrapText="1" indent="1"/>
    </xf>
    <xf numFmtId="0" fontId="2" fillId="0" borderId="0" xfId="0" applyFont="1" applyAlignment="1">
      <alignment horizontal="left" wrapText="1" indent="1"/>
    </xf>
    <xf numFmtId="0" fontId="2" fillId="0" borderId="9" xfId="0" applyFont="1" applyBorder="1" applyAlignment="1">
      <alignment horizontal="left" wrapText="1" indent="1"/>
    </xf>
    <xf numFmtId="0" fontId="2" fillId="0" borderId="6" xfId="0" applyFont="1" applyBorder="1" applyAlignment="1">
      <alignment horizontal="left" indent="2"/>
    </xf>
    <xf numFmtId="0" fontId="2" fillId="0" borderId="7" xfId="0" applyFont="1" applyBorder="1" applyAlignment="1">
      <alignment horizontal="left" indent="2"/>
    </xf>
    <xf numFmtId="0" fontId="2" fillId="0" borderId="5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11" fillId="0" borderId="8" xfId="0" applyFont="1" applyBorder="1" applyAlignment="1">
      <alignment horizontal="left" wrapText="1" indent="1"/>
    </xf>
    <xf numFmtId="0" fontId="11" fillId="0" borderId="0" xfId="0" applyFont="1" applyBorder="1" applyAlignment="1">
      <alignment horizontal="left" wrapText="1" indent="1"/>
    </xf>
    <xf numFmtId="0" fontId="11" fillId="0" borderId="9" xfId="0" applyFont="1" applyBorder="1" applyAlignment="1">
      <alignment horizontal="left" wrapText="1" indent="1"/>
    </xf>
    <xf numFmtId="0" fontId="2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center"/>
    </xf>
    <xf numFmtId="0" fontId="2" fillId="0" borderId="8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left" vertical="center" indent="1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3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8" fillId="0" borderId="8" xfId="0" applyFont="1" applyBorder="1" applyAlignment="1">
      <alignment horizontal="left" wrapText="1" indent="1"/>
    </xf>
    <xf numFmtId="0" fontId="8" fillId="0" borderId="0" xfId="0" applyFont="1" applyBorder="1" applyAlignment="1">
      <alignment horizontal="left" wrapText="1" indent="1"/>
    </xf>
    <xf numFmtId="0" fontId="8" fillId="0" borderId="9" xfId="0" applyFont="1" applyBorder="1" applyAlignment="1">
      <alignment horizontal="left" wrapText="1" indent="1"/>
    </xf>
    <xf numFmtId="0" fontId="2" fillId="0" borderId="12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21" xfId="0" applyFont="1" applyBorder="1" applyAlignment="1">
      <alignment horizontal="center"/>
    </xf>
    <xf numFmtId="1" fontId="16" fillId="0" borderId="0" xfId="0" applyNumberFormat="1" applyFont="1" applyFill="1" applyAlignment="1">
      <alignment horizontal="left" wrapText="1" indent="1"/>
    </xf>
    <xf numFmtId="1" fontId="4" fillId="0" borderId="0" xfId="0" applyNumberFormat="1" applyFont="1" applyAlignment="1">
      <alignment horizontal="left" wrapText="1"/>
    </xf>
    <xf numFmtId="1" fontId="22" fillId="0" borderId="8" xfId="0" applyNumberFormat="1" applyFont="1" applyFill="1" applyBorder="1" applyAlignment="1">
      <alignment horizontal="left" wrapText="1" indent="1"/>
    </xf>
    <xf numFmtId="1" fontId="22" fillId="0" borderId="0" xfId="0" applyNumberFormat="1" applyFont="1" applyFill="1" applyBorder="1" applyAlignment="1">
      <alignment horizontal="left" wrapText="1" indent="1"/>
    </xf>
    <xf numFmtId="1" fontId="22" fillId="0" borderId="9" xfId="0" applyNumberFormat="1" applyFont="1" applyFill="1" applyBorder="1" applyAlignment="1">
      <alignment horizontal="left" wrapText="1" indent="1"/>
    </xf>
    <xf numFmtId="1" fontId="16" fillId="0" borderId="8" xfId="0" applyNumberFormat="1" applyFont="1" applyFill="1" applyBorder="1" applyAlignment="1">
      <alignment horizontal="left" wrapText="1" indent="1"/>
    </xf>
    <xf numFmtId="1" fontId="16" fillId="0" borderId="0" xfId="0" applyNumberFormat="1" applyFont="1" applyFill="1" applyBorder="1" applyAlignment="1">
      <alignment horizontal="left" wrapText="1" indent="1"/>
    </xf>
    <xf numFmtId="1" fontId="16" fillId="0" borderId="9" xfId="0" applyNumberFormat="1" applyFont="1" applyFill="1" applyBorder="1" applyAlignment="1">
      <alignment horizontal="left" wrapText="1" indent="1"/>
    </xf>
    <xf numFmtId="1" fontId="16" fillId="0" borderId="5" xfId="0" applyNumberFormat="1" applyFont="1" applyFill="1" applyBorder="1" applyAlignment="1">
      <alignment horizontal="center"/>
    </xf>
    <xf numFmtId="1" fontId="16" fillId="0" borderId="14" xfId="0" applyNumberFormat="1" applyFont="1" applyFill="1" applyBorder="1" applyAlignment="1">
      <alignment horizontal="right" vertical="center"/>
    </xf>
    <xf numFmtId="1" fontId="16" fillId="0" borderId="17" xfId="0" applyNumberFormat="1" applyFont="1" applyFill="1" applyBorder="1" applyAlignment="1">
      <alignment horizontal="right" vertical="center"/>
    </xf>
    <xf numFmtId="1" fontId="16" fillId="0" borderId="0" xfId="0" applyNumberFormat="1" applyFont="1" applyFill="1" applyAlignment="1">
      <alignment horizontal="left" vertical="center" wrapText="1"/>
    </xf>
    <xf numFmtId="1" fontId="24" fillId="0" borderId="5" xfId="0" applyNumberFormat="1" applyFont="1" applyFill="1" applyBorder="1" applyAlignment="1">
      <alignment horizontal="center"/>
    </xf>
    <xf numFmtId="1" fontId="16" fillId="0" borderId="6" xfId="0" applyNumberFormat="1" applyFont="1" applyFill="1" applyBorder="1" applyAlignment="1">
      <alignment horizontal="left" indent="2"/>
    </xf>
    <xf numFmtId="1" fontId="16" fillId="0" borderId="7" xfId="0" applyNumberFormat="1" applyFont="1" applyFill="1" applyBorder="1" applyAlignment="1">
      <alignment horizontal="left" indent="2"/>
    </xf>
    <xf numFmtId="1" fontId="12" fillId="0" borderId="0" xfId="0" applyNumberFormat="1" applyFont="1" applyAlignment="1">
      <alignment horizontal="center"/>
    </xf>
    <xf numFmtId="1" fontId="28" fillId="0" borderId="0" xfId="0" applyNumberFormat="1" applyFont="1" applyAlignment="1">
      <alignment horizontal="center"/>
    </xf>
    <xf numFmtId="1" fontId="34" fillId="0" borderId="0" xfId="0" applyNumberFormat="1" applyFont="1" applyAlignment="1">
      <alignment horizontal="center"/>
    </xf>
    <xf numFmtId="1" fontId="21" fillId="0" borderId="5" xfId="0" applyNumberFormat="1" applyFont="1" applyFill="1" applyBorder="1" applyAlignment="1">
      <alignment horizontal="center" vertical="center"/>
    </xf>
    <xf numFmtId="1" fontId="17" fillId="0" borderId="6" xfId="0" applyNumberFormat="1" applyFont="1" applyFill="1" applyBorder="1" applyAlignment="1">
      <alignment horizontal="left" wrapText="1" indent="1"/>
    </xf>
    <xf numFmtId="1" fontId="17" fillId="0" borderId="7" xfId="0" applyNumberFormat="1" applyFont="1" applyFill="1" applyBorder="1" applyAlignment="1">
      <alignment horizontal="left" wrapText="1" indent="1"/>
    </xf>
    <xf numFmtId="0" fontId="4" fillId="0" borderId="0" xfId="0" applyFont="1" applyFill="1" applyAlignment="1">
      <alignment horizontal="left" wrapText="1"/>
    </xf>
    <xf numFmtId="0" fontId="2" fillId="0" borderId="8" xfId="0" applyFont="1" applyFill="1" applyBorder="1" applyAlignment="1">
      <alignment horizontal="left" wrapText="1" indent="1"/>
    </xf>
    <xf numFmtId="0" fontId="2" fillId="0" borderId="0" xfId="0" applyFont="1" applyFill="1" applyBorder="1" applyAlignment="1">
      <alignment horizontal="left" wrapText="1" indent="1"/>
    </xf>
    <xf numFmtId="0" fontId="2" fillId="0" borderId="9" xfId="0" applyFont="1" applyFill="1" applyBorder="1" applyAlignment="1">
      <alignment horizontal="left" wrapText="1" indent="1"/>
    </xf>
    <xf numFmtId="0" fontId="5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 indent="2"/>
    </xf>
    <xf numFmtId="0" fontId="2" fillId="0" borderId="7" xfId="0" applyFont="1" applyFill="1" applyBorder="1" applyAlignment="1">
      <alignment horizontal="left" indent="2"/>
    </xf>
    <xf numFmtId="49" fontId="2" fillId="0" borderId="5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 wrapText="1" indent="1"/>
    </xf>
    <xf numFmtId="0" fontId="4" fillId="0" borderId="5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left" vertical="center" wrapText="1" indent="1"/>
    </xf>
    <xf numFmtId="0" fontId="8" fillId="0" borderId="7" xfId="0" applyFont="1" applyFill="1" applyBorder="1" applyAlignment="1">
      <alignment horizontal="left" vertical="center" wrapText="1" indent="1"/>
    </xf>
    <xf numFmtId="1" fontId="2" fillId="0" borderId="5" xfId="0" applyNumberFormat="1" applyFont="1" applyFill="1" applyBorder="1" applyAlignment="1">
      <alignment horizontal="center"/>
    </xf>
    <xf numFmtId="0" fontId="2" fillId="0" borderId="12" xfId="0" applyFont="1" applyFill="1" applyBorder="1" applyAlignment="1">
      <alignment horizontal="left" wrapText="1"/>
    </xf>
    <xf numFmtId="0" fontId="2" fillId="0" borderId="11" xfId="0" applyFont="1" applyFill="1" applyBorder="1" applyAlignment="1">
      <alignment horizontal="left" wrapText="1"/>
    </xf>
    <xf numFmtId="0" fontId="2" fillId="0" borderId="13" xfId="0" applyFont="1" applyFill="1" applyBorder="1" applyAlignment="1">
      <alignment horizontal="left" wrapText="1"/>
    </xf>
    <xf numFmtId="0" fontId="8" fillId="0" borderId="6" xfId="0" applyFont="1" applyFill="1" applyBorder="1" applyAlignment="1">
      <alignment horizontal="left" wrapText="1" indent="1"/>
    </xf>
    <xf numFmtId="0" fontId="8" fillId="0" borderId="7" xfId="0" applyFont="1" applyFill="1" applyBorder="1" applyAlignment="1">
      <alignment horizontal="left" wrapText="1" indent="1"/>
    </xf>
    <xf numFmtId="0" fontId="18" fillId="0" borderId="0" xfId="0" applyFont="1" applyFill="1" applyAlignment="1">
      <alignment horizontal="center" vertical="center"/>
    </xf>
  </cellXfs>
  <cellStyles count="5">
    <cellStyle name="Hyperlink" xfId="1" builtinId="8"/>
    <cellStyle name="Normal" xfId="0" builtinId="0"/>
    <cellStyle name="Normal 2" xfId="2"/>
    <cellStyle name="Normal 4" xfId="3"/>
    <cellStyle name="Percent" xfId="4" builtinId="5"/>
  </cellStyles>
  <dxfs count="0"/>
  <tableStyles count="0" defaultTableStyle="TableStyleMedium2" defaultPivotStyle="PivotStyleLight16"/>
  <colors>
    <mruColors>
      <color rgb="FF081DB8"/>
      <color rgb="FFE1FE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ilmb21.indiatimes.com/service/home/~/Final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1.86 "/>
      <sheetName val="Reader"/>
      <sheetName val="Sheet1"/>
    </sheetNames>
    <sheetDataSet>
      <sheetData sheetId="0"/>
      <sheetData sheetId="1"/>
      <sheetData sheetId="2">
        <row r="4">
          <cell r="S4">
            <v>13260</v>
          </cell>
          <cell r="T4">
            <v>37400</v>
          </cell>
        </row>
        <row r="5">
          <cell r="S5">
            <v>13680</v>
          </cell>
          <cell r="T5">
            <v>37400</v>
          </cell>
        </row>
        <row r="6">
          <cell r="S6">
            <v>14100</v>
          </cell>
          <cell r="T6">
            <v>38530</v>
          </cell>
        </row>
        <row r="7">
          <cell r="S7">
            <v>14520</v>
          </cell>
          <cell r="T7">
            <v>38530</v>
          </cell>
        </row>
        <row r="8">
          <cell r="S8">
            <v>14940</v>
          </cell>
          <cell r="T8">
            <v>39690</v>
          </cell>
        </row>
        <row r="9">
          <cell r="S9">
            <v>15360</v>
          </cell>
          <cell r="T9">
            <v>39690</v>
          </cell>
        </row>
        <row r="10">
          <cell r="S10">
            <v>15780</v>
          </cell>
          <cell r="T10">
            <v>40890</v>
          </cell>
        </row>
        <row r="11">
          <cell r="S11">
            <v>16200</v>
          </cell>
          <cell r="T11">
            <v>40890</v>
          </cell>
        </row>
        <row r="12">
          <cell r="S12">
            <v>16400</v>
          </cell>
          <cell r="T12">
            <v>43390</v>
          </cell>
        </row>
        <row r="13">
          <cell r="S13">
            <v>16620</v>
          </cell>
          <cell r="T13">
            <v>42120</v>
          </cell>
        </row>
        <row r="14">
          <cell r="S14">
            <v>16850</v>
          </cell>
          <cell r="T14">
            <v>43390</v>
          </cell>
        </row>
        <row r="15">
          <cell r="S15">
            <v>17040</v>
          </cell>
          <cell r="T15">
            <v>42120</v>
          </cell>
        </row>
        <row r="16">
          <cell r="S16">
            <v>17300</v>
          </cell>
          <cell r="T16">
            <v>44700</v>
          </cell>
        </row>
        <row r="17">
          <cell r="S17">
            <v>17460</v>
          </cell>
          <cell r="T17">
            <v>43390</v>
          </cell>
        </row>
        <row r="18">
          <cell r="S18">
            <v>17750</v>
          </cell>
          <cell r="T18">
            <v>44700</v>
          </cell>
        </row>
        <row r="19">
          <cell r="S19">
            <v>17880</v>
          </cell>
          <cell r="T19">
            <v>43390</v>
          </cell>
        </row>
        <row r="20">
          <cell r="S20">
            <v>18200</v>
          </cell>
          <cell r="T20">
            <v>46050</v>
          </cell>
        </row>
        <row r="21">
          <cell r="S21">
            <v>18300</v>
          </cell>
          <cell r="T21">
            <v>44700</v>
          </cell>
        </row>
        <row r="22">
          <cell r="S22">
            <v>18650</v>
          </cell>
          <cell r="T22">
            <v>46050</v>
          </cell>
        </row>
        <row r="23">
          <cell r="S23">
            <v>18720</v>
          </cell>
          <cell r="T23">
            <v>44700</v>
          </cell>
        </row>
        <row r="24">
          <cell r="S24">
            <v>19100</v>
          </cell>
          <cell r="T24">
            <v>47440</v>
          </cell>
        </row>
        <row r="25">
          <cell r="S25">
            <v>19140</v>
          </cell>
          <cell r="T25">
            <v>46050</v>
          </cell>
        </row>
        <row r="26">
          <cell r="S26">
            <v>19550</v>
          </cell>
          <cell r="T26">
            <v>47440</v>
          </cell>
        </row>
        <row r="27">
          <cell r="S27">
            <v>19560</v>
          </cell>
          <cell r="T27">
            <v>46050</v>
          </cell>
        </row>
        <row r="28">
          <cell r="S28">
            <v>19980</v>
          </cell>
          <cell r="T28">
            <v>47440</v>
          </cell>
        </row>
        <row r="29">
          <cell r="S29">
            <v>20000</v>
          </cell>
          <cell r="T29">
            <v>48870</v>
          </cell>
        </row>
        <row r="30">
          <cell r="S30">
            <v>20450</v>
          </cell>
          <cell r="T30">
            <v>48870</v>
          </cell>
        </row>
        <row r="31">
          <cell r="S31">
            <v>20900</v>
          </cell>
          <cell r="T31">
            <v>50340</v>
          </cell>
        </row>
        <row r="32">
          <cell r="S32">
            <v>21400</v>
          </cell>
          <cell r="T32">
            <v>50340</v>
          </cell>
        </row>
        <row r="33">
          <cell r="S33">
            <v>21900</v>
          </cell>
          <cell r="T33">
            <v>51860</v>
          </cell>
        </row>
        <row r="34">
          <cell r="S34">
            <v>22400</v>
          </cell>
          <cell r="T34">
            <v>51860</v>
          </cell>
        </row>
        <row r="35">
          <cell r="S35">
            <v>22900</v>
          </cell>
          <cell r="T35">
            <v>53420</v>
          </cell>
        </row>
        <row r="36">
          <cell r="S36">
            <v>23400</v>
          </cell>
          <cell r="T36">
            <v>53420</v>
          </cell>
        </row>
        <row r="37">
          <cell r="S37">
            <v>23900</v>
          </cell>
          <cell r="T37">
            <v>55030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adiance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9"/>
  <sheetViews>
    <sheetView zoomScaleNormal="100" workbookViewId="0">
      <selection activeCell="E8" sqref="E8"/>
    </sheetView>
  </sheetViews>
  <sheetFormatPr defaultColWidth="10.7109375" defaultRowHeight="18" customHeight="1" x14ac:dyDescent="0.2"/>
  <cols>
    <col min="1" max="16384" width="10.7109375" style="7"/>
  </cols>
  <sheetData>
    <row r="2" spans="1:7" ht="18" customHeight="1" x14ac:dyDescent="0.2">
      <c r="A2" s="7" t="s">
        <v>0</v>
      </c>
    </row>
    <row r="3" spans="1:7" ht="18" customHeight="1" x14ac:dyDescent="0.2">
      <c r="A3" s="7" t="s">
        <v>1</v>
      </c>
      <c r="D3" s="7" t="s">
        <v>8</v>
      </c>
    </row>
    <row r="4" spans="1:7" ht="18" customHeight="1" x14ac:dyDescent="0.2">
      <c r="A4" s="7" t="s">
        <v>2</v>
      </c>
      <c r="D4" s="8">
        <v>25572</v>
      </c>
      <c r="E4" s="8"/>
      <c r="F4" s="8"/>
      <c r="G4" s="8"/>
    </row>
    <row r="5" spans="1:7" ht="18" customHeight="1" x14ac:dyDescent="0.2">
      <c r="A5" s="7" t="s">
        <v>3</v>
      </c>
      <c r="D5" s="9" t="s">
        <v>32</v>
      </c>
      <c r="E5" s="9"/>
      <c r="F5" s="9"/>
      <c r="G5" s="9"/>
    </row>
    <row r="6" spans="1:7" ht="18" customHeight="1" x14ac:dyDescent="0.2">
      <c r="A6" s="7" t="s">
        <v>4</v>
      </c>
      <c r="D6" s="7" t="s">
        <v>9</v>
      </c>
    </row>
    <row r="7" spans="1:7" ht="18" customHeight="1" x14ac:dyDescent="0.2">
      <c r="A7" s="7" t="s">
        <v>5</v>
      </c>
      <c r="D7" s="10">
        <v>9268377001</v>
      </c>
      <c r="E7" s="10"/>
      <c r="F7" s="10"/>
      <c r="G7" s="10"/>
    </row>
    <row r="8" spans="1:7" ht="18" customHeight="1" x14ac:dyDescent="0.2">
      <c r="A8" s="7" t="s">
        <v>6</v>
      </c>
      <c r="D8" s="7" t="s">
        <v>7</v>
      </c>
    </row>
    <row r="9" spans="1:7" ht="18" customHeight="1" x14ac:dyDescent="0.2">
      <c r="A9" s="7" t="s">
        <v>10</v>
      </c>
      <c r="D9" s="7" t="s">
        <v>11</v>
      </c>
    </row>
    <row r="10" spans="1:7" ht="18" customHeight="1" x14ac:dyDescent="0.2">
      <c r="A10" s="7" t="s">
        <v>12</v>
      </c>
      <c r="D10" s="11" t="s">
        <v>13</v>
      </c>
      <c r="E10" s="11"/>
      <c r="F10" s="11"/>
      <c r="G10" s="11"/>
    </row>
    <row r="11" spans="1:7" ht="18" customHeight="1" x14ac:dyDescent="0.2">
      <c r="A11" s="7" t="s">
        <v>14</v>
      </c>
      <c r="D11" s="7" t="s">
        <v>15</v>
      </c>
    </row>
    <row r="12" spans="1:7" ht="18" customHeight="1" x14ac:dyDescent="0.2">
      <c r="A12" s="9" t="s">
        <v>16</v>
      </c>
      <c r="B12" s="9"/>
      <c r="C12" s="9"/>
      <c r="D12" s="7" t="s">
        <v>17</v>
      </c>
    </row>
    <row r="13" spans="1:7" ht="18" customHeight="1" x14ac:dyDescent="0.2">
      <c r="A13" s="9" t="s">
        <v>18</v>
      </c>
      <c r="B13" s="9"/>
      <c r="C13" s="9"/>
      <c r="D13" s="7" t="s">
        <v>19</v>
      </c>
    </row>
    <row r="14" spans="1:7" ht="18" customHeight="1" x14ac:dyDescent="0.2">
      <c r="A14" s="9" t="s">
        <v>20</v>
      </c>
      <c r="B14" s="9"/>
      <c r="C14" s="9"/>
      <c r="D14" s="7" t="s">
        <v>21</v>
      </c>
    </row>
    <row r="15" spans="1:7" ht="18" customHeight="1" x14ac:dyDescent="0.2">
      <c r="A15" s="9" t="s">
        <v>22</v>
      </c>
      <c r="B15" s="9"/>
      <c r="C15" s="9"/>
      <c r="D15" s="7" t="s">
        <v>23</v>
      </c>
    </row>
    <row r="16" spans="1:7" ht="18" customHeight="1" x14ac:dyDescent="0.2">
      <c r="A16" s="9" t="s">
        <v>24</v>
      </c>
      <c r="B16" s="9"/>
      <c r="C16" s="9"/>
    </row>
    <row r="17" spans="1:9" ht="18" customHeight="1" x14ac:dyDescent="0.2">
      <c r="A17" s="9" t="s">
        <v>25</v>
      </c>
      <c r="B17" s="9"/>
      <c r="C17" s="9"/>
      <c r="D17" s="7" t="s">
        <v>26</v>
      </c>
      <c r="H17" s="7" t="s">
        <v>27</v>
      </c>
      <c r="I17" s="7" t="s">
        <v>28</v>
      </c>
    </row>
    <row r="18" spans="1:9" ht="18" customHeight="1" x14ac:dyDescent="0.2">
      <c r="A18" s="9" t="s">
        <v>29</v>
      </c>
      <c r="B18" s="9"/>
      <c r="C18" s="9"/>
      <c r="D18" s="7" t="s">
        <v>30</v>
      </c>
      <c r="H18" s="7" t="s">
        <v>30</v>
      </c>
      <c r="I18" s="7" t="s">
        <v>30</v>
      </c>
    </row>
    <row r="19" spans="1:9" ht="18" customHeight="1" x14ac:dyDescent="0.2">
      <c r="A19" s="9" t="s">
        <v>31</v>
      </c>
      <c r="B19" s="9"/>
      <c r="C19" s="9"/>
      <c r="D19" s="12">
        <v>0.5</v>
      </c>
      <c r="E19" s="12"/>
      <c r="F19" s="12"/>
      <c r="G19" s="12"/>
      <c r="H19" s="12">
        <v>0.25</v>
      </c>
      <c r="I19" s="12">
        <v>0.25</v>
      </c>
    </row>
    <row r="20" spans="1:9" ht="18" customHeight="1" x14ac:dyDescent="0.2">
      <c r="A20" s="9" t="s">
        <v>3</v>
      </c>
      <c r="B20" s="9"/>
      <c r="C20" s="9"/>
      <c r="D20" s="9" t="s">
        <v>33</v>
      </c>
      <c r="E20" s="9"/>
      <c r="F20" s="9"/>
      <c r="G20" s="9"/>
      <c r="H20" s="9" t="s">
        <v>34</v>
      </c>
      <c r="I20" s="9" t="s">
        <v>35</v>
      </c>
    </row>
    <row r="21" spans="1:9" ht="18" customHeight="1" x14ac:dyDescent="0.2">
      <c r="A21" s="9" t="s">
        <v>4</v>
      </c>
      <c r="B21" s="9"/>
      <c r="C21" s="9"/>
      <c r="D21" s="7" t="s">
        <v>36</v>
      </c>
      <c r="H21" s="7" t="s">
        <v>37</v>
      </c>
      <c r="I21" s="7" t="s">
        <v>38</v>
      </c>
    </row>
    <row r="22" spans="1:9" ht="18" customHeight="1" x14ac:dyDescent="0.2">
      <c r="A22" s="9" t="s">
        <v>39</v>
      </c>
      <c r="B22" s="9"/>
      <c r="C22" s="9"/>
      <c r="D22" s="7" t="s">
        <v>26</v>
      </c>
    </row>
    <row r="23" spans="1:9" ht="18" customHeight="1" x14ac:dyDescent="0.2">
      <c r="A23" s="9" t="s">
        <v>40</v>
      </c>
      <c r="B23" s="9"/>
      <c r="C23" s="9"/>
      <c r="D23" s="7" t="s">
        <v>41</v>
      </c>
    </row>
    <row r="24" spans="1:9" ht="18" customHeight="1" x14ac:dyDescent="0.2">
      <c r="A24" s="9" t="s">
        <v>42</v>
      </c>
      <c r="B24" s="9"/>
      <c r="C24" s="9"/>
      <c r="D24" s="13">
        <v>2</v>
      </c>
      <c r="E24" s="13"/>
      <c r="F24" s="13"/>
      <c r="G24" s="13"/>
    </row>
    <row r="25" spans="1:9" ht="18" customHeight="1" x14ac:dyDescent="0.2">
      <c r="A25" s="9" t="s">
        <v>43</v>
      </c>
      <c r="B25" s="9"/>
      <c r="C25" s="9"/>
      <c r="D25" s="7" t="s">
        <v>44</v>
      </c>
      <c r="H25" s="7" t="s">
        <v>45</v>
      </c>
      <c r="I25" s="7" t="s">
        <v>46</v>
      </c>
    </row>
    <row r="26" spans="1:9" ht="18" customHeight="1" x14ac:dyDescent="0.2">
      <c r="D26" s="7" t="s">
        <v>47</v>
      </c>
      <c r="H26" s="13">
        <v>25478963254</v>
      </c>
      <c r="I26" s="13">
        <v>32568457824</v>
      </c>
    </row>
    <row r="27" spans="1:9" ht="18" customHeight="1" x14ac:dyDescent="0.2">
      <c r="D27" s="7" t="s">
        <v>48</v>
      </c>
      <c r="H27" s="7" t="s">
        <v>49</v>
      </c>
      <c r="I27" s="7" t="s">
        <v>50</v>
      </c>
    </row>
    <row r="28" spans="1:9" ht="18" customHeight="1" x14ac:dyDescent="0.2">
      <c r="D28" s="7" t="s">
        <v>51</v>
      </c>
      <c r="H28" s="7" t="s">
        <v>52</v>
      </c>
      <c r="I28" s="7" t="s">
        <v>52</v>
      </c>
    </row>
    <row r="29" spans="1:9" ht="18" customHeight="1" x14ac:dyDescent="0.2">
      <c r="D29" s="9" t="s">
        <v>53</v>
      </c>
      <c r="E29" s="9"/>
      <c r="F29" s="9"/>
      <c r="G29" s="9"/>
      <c r="I29" s="14" t="s">
        <v>54</v>
      </c>
    </row>
    <row r="30" spans="1:9" ht="18" customHeight="1" x14ac:dyDescent="0.2">
      <c r="A30" s="7" t="s">
        <v>55</v>
      </c>
      <c r="D30" s="15">
        <v>43015</v>
      </c>
      <c r="E30" s="15"/>
      <c r="F30" s="15"/>
      <c r="G30" s="15"/>
    </row>
    <row r="31" spans="1:9" ht="18" customHeight="1" x14ac:dyDescent="0.2">
      <c r="A31" s="7" t="s">
        <v>56</v>
      </c>
      <c r="D31" s="13" t="s">
        <v>57</v>
      </c>
      <c r="E31" s="13"/>
      <c r="F31" s="13"/>
      <c r="G31" s="13"/>
    </row>
    <row r="32" spans="1:9" ht="18" customHeight="1" x14ac:dyDescent="0.2">
      <c r="A32" s="7" t="s">
        <v>58</v>
      </c>
    </row>
    <row r="33" spans="1:7" ht="18" customHeight="1" x14ac:dyDescent="0.2">
      <c r="A33" s="7" t="s">
        <v>59</v>
      </c>
    </row>
    <row r="34" spans="1:7" ht="18" customHeight="1" x14ac:dyDescent="0.2">
      <c r="A34" s="9" t="s">
        <v>60</v>
      </c>
      <c r="B34" s="9"/>
      <c r="C34" s="9"/>
    </row>
    <row r="35" spans="1:7" ht="18" customHeight="1" x14ac:dyDescent="0.2">
      <c r="A35" s="9" t="s">
        <v>61</v>
      </c>
      <c r="B35" s="9"/>
      <c r="C35" s="9"/>
    </row>
    <row r="36" spans="1:7" ht="18" customHeight="1" x14ac:dyDescent="0.2">
      <c r="A36" s="7" t="s">
        <v>62</v>
      </c>
      <c r="D36" s="16">
        <v>10000</v>
      </c>
      <c r="E36" s="16"/>
      <c r="F36" s="16"/>
      <c r="G36" s="16"/>
    </row>
    <row r="37" spans="1:7" ht="18" customHeight="1" x14ac:dyDescent="0.2">
      <c r="A37" s="7" t="s">
        <v>63</v>
      </c>
      <c r="D37" s="13" t="s">
        <v>64</v>
      </c>
      <c r="E37" s="13"/>
      <c r="F37" s="13"/>
      <c r="G37" s="13"/>
    </row>
    <row r="38" spans="1:7" ht="18" customHeight="1" x14ac:dyDescent="0.2">
      <c r="A38" s="9" t="s">
        <v>67</v>
      </c>
      <c r="B38" s="9"/>
      <c r="C38" s="9"/>
    </row>
    <row r="39" spans="1:7" ht="18" customHeight="1" x14ac:dyDescent="0.2">
      <c r="A39" s="7" t="s">
        <v>65</v>
      </c>
    </row>
    <row r="40" spans="1:7" ht="18" customHeight="1" x14ac:dyDescent="0.2">
      <c r="A40" s="7" t="s">
        <v>66</v>
      </c>
      <c r="D40" s="13" t="s">
        <v>68</v>
      </c>
      <c r="E40" s="13"/>
      <c r="F40" s="13"/>
      <c r="G40" s="13"/>
    </row>
    <row r="41" spans="1:7" ht="18" customHeight="1" x14ac:dyDescent="0.2">
      <c r="A41" s="7" t="s">
        <v>69</v>
      </c>
      <c r="D41" s="13" t="s">
        <v>70</v>
      </c>
      <c r="E41" s="13"/>
      <c r="F41" s="13"/>
      <c r="G41" s="13"/>
    </row>
    <row r="42" spans="1:7" ht="18" customHeight="1" x14ac:dyDescent="0.2">
      <c r="A42" s="7" t="s">
        <v>71</v>
      </c>
      <c r="D42" s="16">
        <v>20000</v>
      </c>
      <c r="E42" s="16"/>
      <c r="F42" s="16"/>
      <c r="G42" s="16"/>
    </row>
    <row r="43" spans="1:7" ht="18" customHeight="1" x14ac:dyDescent="0.2">
      <c r="A43" s="7" t="s">
        <v>72</v>
      </c>
      <c r="D43" s="16">
        <v>12000</v>
      </c>
      <c r="E43" s="16"/>
      <c r="F43" s="16"/>
      <c r="G43" s="16"/>
    </row>
    <row r="44" spans="1:7" ht="18" customHeight="1" x14ac:dyDescent="0.2">
      <c r="A44" s="9" t="s">
        <v>73</v>
      </c>
      <c r="B44" s="9"/>
      <c r="C44" s="9"/>
      <c r="D44" s="13" t="s">
        <v>74</v>
      </c>
      <c r="E44" s="13"/>
      <c r="F44" s="13"/>
      <c r="G44" s="13"/>
    </row>
    <row r="45" spans="1:7" ht="18" customHeight="1" x14ac:dyDescent="0.2">
      <c r="A45" s="7" t="s">
        <v>75</v>
      </c>
      <c r="D45" s="13" t="s">
        <v>76</v>
      </c>
      <c r="E45" s="13"/>
      <c r="F45" s="13"/>
      <c r="G45" s="13"/>
    </row>
    <row r="46" spans="1:7" ht="18" customHeight="1" x14ac:dyDescent="0.2">
      <c r="A46" s="7" t="s">
        <v>77</v>
      </c>
      <c r="D46" s="13" t="s">
        <v>78</v>
      </c>
      <c r="E46" s="13"/>
      <c r="F46" s="13"/>
      <c r="G46" s="13"/>
    </row>
    <row r="47" spans="1:7" ht="18" customHeight="1" x14ac:dyDescent="0.2">
      <c r="A47" s="7" t="s">
        <v>79</v>
      </c>
    </row>
    <row r="48" spans="1:7" ht="18" customHeight="1" x14ac:dyDescent="0.2">
      <c r="A48" s="9" t="s">
        <v>80</v>
      </c>
      <c r="B48" s="9"/>
      <c r="C48" s="9"/>
      <c r="D48" s="13" t="s">
        <v>78</v>
      </c>
      <c r="E48" s="13"/>
      <c r="F48" s="13"/>
      <c r="G48" s="13"/>
    </row>
    <row r="49" spans="1:9" ht="18" customHeight="1" x14ac:dyDescent="0.2">
      <c r="A49" s="7" t="s">
        <v>81</v>
      </c>
      <c r="D49" s="16">
        <v>20000</v>
      </c>
      <c r="E49" s="16"/>
      <c r="F49" s="16"/>
      <c r="G49" s="16"/>
    </row>
    <row r="50" spans="1:9" ht="18" customHeight="1" x14ac:dyDescent="0.2">
      <c r="A50" s="7" t="s">
        <v>82</v>
      </c>
      <c r="D50" s="16">
        <v>15000</v>
      </c>
      <c r="E50" s="16"/>
      <c r="F50" s="16"/>
      <c r="G50" s="16"/>
    </row>
    <row r="51" spans="1:9" ht="18" customHeight="1" x14ac:dyDescent="0.2">
      <c r="A51" s="7" t="s">
        <v>83</v>
      </c>
    </row>
    <row r="52" spans="1:9" ht="18" customHeight="1" x14ac:dyDescent="0.2">
      <c r="A52" s="9" t="s">
        <v>84</v>
      </c>
      <c r="B52" s="9"/>
      <c r="C52" s="9"/>
      <c r="D52" s="16">
        <v>80000</v>
      </c>
      <c r="E52" s="16"/>
      <c r="F52" s="16"/>
      <c r="G52" s="16"/>
    </row>
    <row r="53" spans="1:9" ht="18" customHeight="1" x14ac:dyDescent="0.2">
      <c r="A53" s="7" t="s">
        <v>85</v>
      </c>
      <c r="D53" s="13" t="s">
        <v>86</v>
      </c>
      <c r="E53" s="13"/>
      <c r="F53" s="13"/>
      <c r="G53" s="13"/>
    </row>
    <row r="54" spans="1:9" ht="18" customHeight="1" x14ac:dyDescent="0.2">
      <c r="A54" s="7" t="s">
        <v>87</v>
      </c>
      <c r="D54" s="16">
        <v>50000</v>
      </c>
      <c r="E54" s="16"/>
      <c r="F54" s="16"/>
      <c r="G54" s="16"/>
    </row>
    <row r="55" spans="1:9" ht="18" customHeight="1" x14ac:dyDescent="0.2">
      <c r="A55" s="7" t="s">
        <v>88</v>
      </c>
    </row>
    <row r="56" spans="1:9" ht="18" customHeight="1" x14ac:dyDescent="0.2">
      <c r="A56" s="7" t="s">
        <v>89</v>
      </c>
      <c r="D56" s="16">
        <v>20000</v>
      </c>
      <c r="E56" s="16"/>
      <c r="F56" s="16"/>
      <c r="G56" s="16"/>
    </row>
    <row r="57" spans="1:9" ht="18" customHeight="1" x14ac:dyDescent="0.2">
      <c r="A57" s="7" t="s">
        <v>90</v>
      </c>
      <c r="D57" s="16">
        <v>25000</v>
      </c>
      <c r="E57" s="16"/>
      <c r="F57" s="16"/>
      <c r="G57" s="16"/>
    </row>
    <row r="60" spans="1:9" ht="18" customHeight="1" x14ac:dyDescent="0.25">
      <c r="A60" s="7" t="s">
        <v>91</v>
      </c>
      <c r="D60" s="17"/>
      <c r="E60" s="17"/>
      <c r="F60" s="17"/>
      <c r="G60" s="17"/>
      <c r="H60" s="17"/>
      <c r="I60" s="17"/>
    </row>
    <row r="61" spans="1:9" ht="18" customHeight="1" x14ac:dyDescent="0.2">
      <c r="A61" s="7" t="s">
        <v>92</v>
      </c>
    </row>
    <row r="62" spans="1:9" ht="18" customHeight="1" x14ac:dyDescent="0.2">
      <c r="D62" s="13" t="s">
        <v>93</v>
      </c>
      <c r="E62" s="13"/>
      <c r="F62" s="13"/>
      <c r="G62" s="13"/>
      <c r="H62" s="13" t="s">
        <v>137</v>
      </c>
      <c r="I62" s="13"/>
    </row>
    <row r="63" spans="1:9" ht="18" customHeight="1" x14ac:dyDescent="0.2">
      <c r="A63" s="7" t="s">
        <v>94</v>
      </c>
      <c r="D63" s="13" t="s">
        <v>78</v>
      </c>
      <c r="E63" s="13"/>
      <c r="F63" s="13"/>
      <c r="G63" s="13"/>
      <c r="H63" s="7" t="s">
        <v>127</v>
      </c>
      <c r="I63" s="13" t="s">
        <v>142</v>
      </c>
    </row>
    <row r="64" spans="1:9" ht="18" customHeight="1" x14ac:dyDescent="0.2">
      <c r="A64" s="7" t="s">
        <v>95</v>
      </c>
      <c r="D64" s="13" t="s">
        <v>86</v>
      </c>
      <c r="E64" s="13"/>
      <c r="F64" s="13"/>
      <c r="G64" s="13"/>
      <c r="H64" s="7" t="s">
        <v>128</v>
      </c>
      <c r="I64" s="13" t="s">
        <v>138</v>
      </c>
    </row>
    <row r="65" spans="1:9" ht="18" customHeight="1" x14ac:dyDescent="0.2">
      <c r="A65" s="7" t="s">
        <v>96</v>
      </c>
      <c r="D65" s="13" t="s">
        <v>97</v>
      </c>
      <c r="E65" s="13"/>
      <c r="F65" s="13"/>
      <c r="G65" s="13"/>
      <c r="H65" s="7" t="s">
        <v>129</v>
      </c>
      <c r="I65" s="13" t="s">
        <v>139</v>
      </c>
    </row>
    <row r="66" spans="1:9" ht="18" customHeight="1" x14ac:dyDescent="0.2">
      <c r="A66" s="7" t="s">
        <v>98</v>
      </c>
      <c r="D66" s="13" t="s">
        <v>99</v>
      </c>
      <c r="E66" s="13"/>
      <c r="F66" s="13"/>
      <c r="G66" s="13"/>
      <c r="H66" s="7" t="s">
        <v>130</v>
      </c>
      <c r="I66" s="16" t="s">
        <v>140</v>
      </c>
    </row>
    <row r="67" spans="1:9" ht="18" customHeight="1" x14ac:dyDescent="0.2">
      <c r="A67" s="7" t="s">
        <v>100</v>
      </c>
      <c r="D67" s="13" t="s">
        <v>101</v>
      </c>
      <c r="E67" s="13"/>
      <c r="F67" s="13"/>
      <c r="G67" s="13"/>
      <c r="H67" s="7" t="s">
        <v>131</v>
      </c>
      <c r="I67" s="13" t="s">
        <v>141</v>
      </c>
    </row>
    <row r="68" spans="1:9" ht="18" customHeight="1" x14ac:dyDescent="0.2">
      <c r="A68" s="7" t="s">
        <v>102</v>
      </c>
      <c r="D68" s="16">
        <v>15000</v>
      </c>
      <c r="E68" s="16"/>
      <c r="F68" s="16"/>
      <c r="G68" s="16"/>
    </row>
    <row r="69" spans="1:9" ht="18" customHeight="1" x14ac:dyDescent="0.2">
      <c r="A69" s="7" t="s">
        <v>103</v>
      </c>
      <c r="D69" s="16">
        <v>35000</v>
      </c>
      <c r="E69" s="16"/>
      <c r="F69" s="16"/>
      <c r="G69" s="16"/>
    </row>
    <row r="70" spans="1:9" ht="18" customHeight="1" x14ac:dyDescent="0.2">
      <c r="A70" s="7" t="s">
        <v>104</v>
      </c>
      <c r="D70" s="16">
        <v>22000</v>
      </c>
      <c r="E70" s="16"/>
      <c r="F70" s="16"/>
      <c r="G70" s="16"/>
    </row>
    <row r="71" spans="1:9" ht="18" customHeight="1" x14ac:dyDescent="0.2">
      <c r="A71" s="7" t="s">
        <v>105</v>
      </c>
      <c r="D71" s="16">
        <v>6300</v>
      </c>
      <c r="E71" s="16"/>
      <c r="F71" s="16"/>
      <c r="G71" s="16"/>
    </row>
    <row r="72" spans="1:9" ht="18" customHeight="1" x14ac:dyDescent="0.2">
      <c r="A72" s="7" t="s">
        <v>106</v>
      </c>
      <c r="D72" s="16">
        <v>40000</v>
      </c>
      <c r="E72" s="16"/>
      <c r="F72" s="16"/>
      <c r="G72" s="16"/>
    </row>
    <row r="73" spans="1:9" ht="18" customHeight="1" x14ac:dyDescent="0.2">
      <c r="A73" s="7" t="s">
        <v>107</v>
      </c>
      <c r="D73" s="13" t="s">
        <v>108</v>
      </c>
      <c r="E73" s="13"/>
      <c r="F73" s="13"/>
      <c r="G73" s="13"/>
    </row>
    <row r="74" spans="1:9" ht="18" customHeight="1" x14ac:dyDescent="0.2">
      <c r="A74" s="7" t="s">
        <v>109</v>
      </c>
      <c r="D74" s="16">
        <v>5800</v>
      </c>
      <c r="E74" s="16"/>
      <c r="F74" s="16"/>
      <c r="G74" s="16"/>
    </row>
    <row r="75" spans="1:9" ht="18" customHeight="1" x14ac:dyDescent="0.2">
      <c r="A75" s="7" t="s">
        <v>110</v>
      </c>
      <c r="D75" s="16">
        <v>27000</v>
      </c>
      <c r="E75" s="16"/>
      <c r="F75" s="16"/>
      <c r="G75" s="16"/>
    </row>
    <row r="76" spans="1:9" ht="18" customHeight="1" x14ac:dyDescent="0.2">
      <c r="A76" s="7" t="s">
        <v>111</v>
      </c>
      <c r="D76" s="16">
        <v>26500</v>
      </c>
      <c r="E76" s="16"/>
      <c r="F76" s="16"/>
      <c r="G76" s="16"/>
    </row>
    <row r="77" spans="1:9" ht="18" customHeight="1" x14ac:dyDescent="0.2">
      <c r="A77" s="7" t="s">
        <v>112</v>
      </c>
      <c r="D77" s="13" t="s">
        <v>113</v>
      </c>
      <c r="E77" s="13"/>
      <c r="F77" s="13"/>
      <c r="G77" s="13"/>
    </row>
    <row r="78" spans="1:9" ht="18" customHeight="1" x14ac:dyDescent="0.2">
      <c r="A78" s="7" t="s">
        <v>114</v>
      </c>
      <c r="D78" s="16">
        <v>25000</v>
      </c>
      <c r="E78" s="16"/>
      <c r="F78" s="16"/>
      <c r="G78" s="16"/>
    </row>
    <row r="79" spans="1:9" ht="18" customHeight="1" x14ac:dyDescent="0.2">
      <c r="A79" s="7" t="s">
        <v>115</v>
      </c>
      <c r="D79" s="16">
        <v>22500</v>
      </c>
      <c r="E79" s="16"/>
      <c r="F79" s="16"/>
      <c r="G79" s="16"/>
    </row>
    <row r="80" spans="1:9" ht="18" customHeight="1" x14ac:dyDescent="0.2">
      <c r="A80" s="7" t="s">
        <v>116</v>
      </c>
      <c r="D80" s="13" t="s">
        <v>117</v>
      </c>
      <c r="E80" s="13"/>
      <c r="F80" s="13"/>
      <c r="G80" s="13"/>
    </row>
    <row r="81" spans="1:9" ht="18" customHeight="1" x14ac:dyDescent="0.2">
      <c r="A81" s="7" t="s">
        <v>118</v>
      </c>
      <c r="D81" s="16">
        <v>18000</v>
      </c>
      <c r="E81" s="16"/>
      <c r="F81" s="16"/>
      <c r="G81" s="16"/>
    </row>
    <row r="82" spans="1:9" ht="18" customHeight="1" x14ac:dyDescent="0.2">
      <c r="A82" s="7" t="s">
        <v>119</v>
      </c>
      <c r="D82" s="13" t="s">
        <v>120</v>
      </c>
      <c r="E82" s="13"/>
      <c r="F82" s="13"/>
      <c r="G82" s="13"/>
    </row>
    <row r="83" spans="1:9" ht="18" customHeight="1" x14ac:dyDescent="0.2">
      <c r="A83" s="7" t="s">
        <v>121</v>
      </c>
      <c r="D83" s="16">
        <v>85000</v>
      </c>
      <c r="E83" s="16"/>
      <c r="F83" s="16"/>
      <c r="G83" s="16"/>
    </row>
    <row r="84" spans="1:9" ht="18" customHeight="1" x14ac:dyDescent="0.2">
      <c r="A84" s="7" t="s">
        <v>122</v>
      </c>
      <c r="D84" s="16">
        <v>12500</v>
      </c>
      <c r="E84" s="16"/>
      <c r="F84" s="16"/>
      <c r="G84" s="16"/>
    </row>
    <row r="85" spans="1:9" ht="18" customHeight="1" x14ac:dyDescent="0.2">
      <c r="A85" s="7" t="s">
        <v>123</v>
      </c>
      <c r="D85" s="13" t="s">
        <v>120</v>
      </c>
      <c r="E85" s="13"/>
      <c r="F85" s="13"/>
      <c r="G85" s="13"/>
    </row>
    <row r="86" spans="1:9" ht="18" customHeight="1" x14ac:dyDescent="0.2">
      <c r="A86" s="7" t="s">
        <v>124</v>
      </c>
      <c r="D86" s="13" t="s">
        <v>99</v>
      </c>
      <c r="E86" s="13"/>
      <c r="F86" s="13"/>
      <c r="G86" s="13"/>
    </row>
    <row r="87" spans="1:9" ht="18" customHeight="1" x14ac:dyDescent="0.2">
      <c r="A87" s="7" t="s">
        <v>132</v>
      </c>
      <c r="D87" s="13" t="s">
        <v>133</v>
      </c>
      <c r="E87" s="13"/>
      <c r="F87" s="13"/>
      <c r="G87" s="13"/>
    </row>
    <row r="88" spans="1:9" ht="18" customHeight="1" x14ac:dyDescent="0.2">
      <c r="A88" s="7" t="s">
        <v>125</v>
      </c>
      <c r="D88" s="13" t="s">
        <v>145</v>
      </c>
      <c r="E88" s="13"/>
      <c r="F88" s="13"/>
      <c r="G88" s="13"/>
    </row>
    <row r="89" spans="1:9" ht="18" customHeight="1" x14ac:dyDescent="0.2">
      <c r="A89" s="7" t="s">
        <v>126</v>
      </c>
      <c r="D89" s="18">
        <v>6792900</v>
      </c>
      <c r="E89" s="22"/>
      <c r="F89" s="22"/>
      <c r="G89" s="22"/>
      <c r="I89" s="19"/>
    </row>
    <row r="90" spans="1:9" ht="18" customHeight="1" x14ac:dyDescent="0.2">
      <c r="D90" s="20">
        <f>SUM(I90)</f>
        <v>31838000</v>
      </c>
      <c r="E90" s="22"/>
      <c r="F90" s="22"/>
      <c r="G90" s="22"/>
      <c r="I90" s="18">
        <v>31838000</v>
      </c>
    </row>
    <row r="92" spans="1:9" ht="18" customHeight="1" x14ac:dyDescent="0.2">
      <c r="A92" s="7" t="s">
        <v>134</v>
      </c>
    </row>
    <row r="93" spans="1:9" ht="18" customHeight="1" x14ac:dyDescent="0.2">
      <c r="A93" s="7" t="s">
        <v>135</v>
      </c>
    </row>
    <row r="94" spans="1:9" ht="18" customHeight="1" x14ac:dyDescent="0.2">
      <c r="A94" s="10" t="s">
        <v>136</v>
      </c>
      <c r="B94" s="10"/>
      <c r="C94" s="10"/>
    </row>
    <row r="95" spans="1:9" ht="18" customHeight="1" x14ac:dyDescent="0.2">
      <c r="A95" s="10" t="s">
        <v>143</v>
      </c>
      <c r="B95" s="10"/>
      <c r="C95" s="10"/>
    </row>
    <row r="96" spans="1:9" ht="18" customHeight="1" x14ac:dyDescent="0.2">
      <c r="A96" s="7" t="s">
        <v>144</v>
      </c>
    </row>
    <row r="97" spans="1:9" ht="18" customHeight="1" x14ac:dyDescent="0.2">
      <c r="A97" s="9" t="s">
        <v>146</v>
      </c>
      <c r="B97" s="9"/>
      <c r="C97" s="9"/>
    </row>
    <row r="98" spans="1:9" ht="18" customHeight="1" x14ac:dyDescent="0.2">
      <c r="A98" s="9" t="s">
        <v>147</v>
      </c>
      <c r="B98" s="9"/>
      <c r="C98" s="9"/>
    </row>
    <row r="99" spans="1:9" ht="18" customHeight="1" x14ac:dyDescent="0.2">
      <c r="A99" s="7" t="s">
        <v>148</v>
      </c>
    </row>
    <row r="101" spans="1:9" ht="18" customHeight="1" x14ac:dyDescent="0.2">
      <c r="D101" s="13" t="s">
        <v>149</v>
      </c>
      <c r="E101" s="13"/>
      <c r="F101" s="13"/>
      <c r="G101" s="13"/>
    </row>
    <row r="102" spans="1:9" ht="18" customHeight="1" x14ac:dyDescent="0.2">
      <c r="D102" s="13" t="s">
        <v>137</v>
      </c>
      <c r="E102" s="13"/>
      <c r="F102" s="13"/>
      <c r="G102" s="13"/>
    </row>
    <row r="103" spans="1:9" ht="18" customHeight="1" x14ac:dyDescent="0.2">
      <c r="A103" s="7" t="s">
        <v>150</v>
      </c>
      <c r="D103" s="13" t="s">
        <v>151</v>
      </c>
      <c r="E103" s="13"/>
      <c r="F103" s="13"/>
      <c r="G103" s="13"/>
    </row>
    <row r="104" spans="1:9" ht="18" customHeight="1" x14ac:dyDescent="0.2">
      <c r="A104" s="9" t="s">
        <v>152</v>
      </c>
      <c r="B104" s="9"/>
      <c r="C104" s="9"/>
      <c r="D104" s="13" t="s">
        <v>153</v>
      </c>
      <c r="E104" s="13"/>
      <c r="F104" s="13"/>
      <c r="G104" s="13"/>
    </row>
    <row r="105" spans="1:9" ht="18" customHeight="1" x14ac:dyDescent="0.2">
      <c r="A105" s="7" t="s">
        <v>154</v>
      </c>
      <c r="D105" s="13" t="s">
        <v>86</v>
      </c>
      <c r="E105" s="13"/>
      <c r="F105" s="13"/>
      <c r="G105" s="13"/>
    </row>
    <row r="106" spans="1:9" ht="18" customHeight="1" x14ac:dyDescent="0.2">
      <c r="A106" s="7" t="s">
        <v>155</v>
      </c>
      <c r="D106" s="13" t="s">
        <v>153</v>
      </c>
      <c r="E106" s="13"/>
      <c r="F106" s="13"/>
      <c r="G106" s="13"/>
    </row>
    <row r="107" spans="1:9" ht="18" customHeight="1" x14ac:dyDescent="0.2">
      <c r="A107" s="7" t="s">
        <v>156</v>
      </c>
      <c r="D107" s="13" t="s">
        <v>157</v>
      </c>
      <c r="E107" s="13"/>
      <c r="F107" s="13"/>
      <c r="G107" s="13"/>
    </row>
    <row r="109" spans="1:9" ht="18" customHeight="1" x14ac:dyDescent="0.2">
      <c r="A109" s="9" t="s">
        <v>158</v>
      </c>
      <c r="B109" s="9"/>
      <c r="C109" s="9"/>
    </row>
    <row r="111" spans="1:9" ht="18" customHeight="1" x14ac:dyDescent="0.2">
      <c r="A111" s="7" t="s">
        <v>159</v>
      </c>
    </row>
    <row r="112" spans="1:9" ht="18" customHeight="1" x14ac:dyDescent="0.2">
      <c r="D112" s="13" t="s">
        <v>137</v>
      </c>
      <c r="E112" s="13"/>
      <c r="F112" s="13"/>
      <c r="G112" s="13"/>
      <c r="I112" s="13" t="s">
        <v>137</v>
      </c>
    </row>
    <row r="113" spans="1:9" ht="18" customHeight="1" x14ac:dyDescent="0.2">
      <c r="A113" s="7" t="s">
        <v>160</v>
      </c>
      <c r="H113" s="7" t="s">
        <v>164</v>
      </c>
      <c r="I113" s="13" t="s">
        <v>165</v>
      </c>
    </row>
    <row r="114" spans="1:9" ht="18" customHeight="1" x14ac:dyDescent="0.2">
      <c r="A114" s="7" t="s">
        <v>161</v>
      </c>
      <c r="D114" s="13" t="s">
        <v>74</v>
      </c>
      <c r="E114" s="13"/>
      <c r="F114" s="13"/>
      <c r="G114" s="13"/>
      <c r="H114" s="7" t="s">
        <v>166</v>
      </c>
      <c r="I114" s="13" t="s">
        <v>167</v>
      </c>
    </row>
    <row r="115" spans="1:9" ht="18" customHeight="1" x14ac:dyDescent="0.2">
      <c r="A115" s="7" t="s">
        <v>162</v>
      </c>
      <c r="D115" s="13" t="s">
        <v>76</v>
      </c>
      <c r="E115" s="13"/>
      <c r="F115" s="13"/>
      <c r="G115" s="13"/>
      <c r="H115" s="7" t="s">
        <v>168</v>
      </c>
      <c r="I115" s="13" t="s">
        <v>169</v>
      </c>
    </row>
    <row r="116" spans="1:9" ht="18" customHeight="1" x14ac:dyDescent="0.2">
      <c r="A116" s="7" t="s">
        <v>163</v>
      </c>
      <c r="D116" s="13" t="s">
        <v>76</v>
      </c>
      <c r="E116" s="13"/>
      <c r="F116" s="13"/>
      <c r="G116" s="13"/>
      <c r="H116" s="7" t="s">
        <v>170</v>
      </c>
      <c r="I116" s="13" t="s">
        <v>171</v>
      </c>
    </row>
    <row r="117" spans="1:9" ht="18" customHeight="1" x14ac:dyDescent="0.2">
      <c r="A117" s="7" t="s">
        <v>176</v>
      </c>
      <c r="D117" s="16">
        <v>13834000</v>
      </c>
      <c r="E117" s="16"/>
      <c r="F117" s="16"/>
      <c r="G117" s="16"/>
      <c r="H117" s="7" t="s">
        <v>172</v>
      </c>
      <c r="I117" s="13" t="s">
        <v>173</v>
      </c>
    </row>
    <row r="118" spans="1:9" ht="18" customHeight="1" x14ac:dyDescent="0.2">
      <c r="D118" s="21"/>
      <c r="E118" s="21"/>
      <c r="F118" s="21"/>
      <c r="G118" s="21"/>
      <c r="H118" s="7" t="s">
        <v>174</v>
      </c>
      <c r="I118" s="13" t="s">
        <v>175</v>
      </c>
    </row>
    <row r="119" spans="1:9" ht="18" customHeight="1" x14ac:dyDescent="0.2">
      <c r="D119" s="13">
        <v>15034000</v>
      </c>
      <c r="E119" s="13"/>
      <c r="F119" s="13"/>
      <c r="G119" s="13"/>
      <c r="I119" s="16">
        <v>15034000</v>
      </c>
    </row>
  </sheetData>
  <hyperlinks>
    <hyperlink ref="D10" r:id="rId1"/>
  </hyperlinks>
  <printOptions horizontalCentered="1" verticalCentered="1"/>
  <pageMargins left="0.39370078740157483" right="1.9685039370078741" top="0.39370078740157483" bottom="0.39370078740157483" header="0" footer="0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4"/>
  <sheetViews>
    <sheetView topLeftCell="A55" zoomScaleNormal="100" workbookViewId="0">
      <selection activeCell="F70" sqref="F70"/>
    </sheetView>
  </sheetViews>
  <sheetFormatPr defaultColWidth="15.7109375" defaultRowHeight="20.100000000000001" customHeight="1" x14ac:dyDescent="0.2"/>
  <cols>
    <col min="1" max="2" width="15.7109375" style="1" customWidth="1"/>
    <col min="3" max="6" width="15.7109375" style="1"/>
    <col min="7" max="7" width="6.28515625" style="1" customWidth="1"/>
    <col min="8" max="8" width="20.28515625" style="1" customWidth="1"/>
    <col min="9" max="11" width="15.7109375" style="111"/>
    <col min="12" max="16384" width="15.7109375" style="1"/>
  </cols>
  <sheetData>
    <row r="1" spans="1:11" ht="20.100000000000001" customHeight="1" x14ac:dyDescent="0.2">
      <c r="A1" s="130" t="s">
        <v>340</v>
      </c>
      <c r="B1" s="130"/>
      <c r="C1" s="130"/>
      <c r="D1" s="130"/>
      <c r="E1" s="130"/>
    </row>
    <row r="2" spans="1:11" ht="20.100000000000001" customHeight="1" x14ac:dyDescent="0.25">
      <c r="A2" s="553" t="s">
        <v>339</v>
      </c>
      <c r="B2" s="553"/>
      <c r="C2" s="553"/>
      <c r="D2" s="553"/>
      <c r="E2" s="553"/>
      <c r="F2" s="553"/>
    </row>
    <row r="3" spans="1:11" s="6" customFormat="1" ht="18.95" customHeight="1" x14ac:dyDescent="0.25">
      <c r="A3" s="90" t="s">
        <v>1</v>
      </c>
      <c r="B3" s="58"/>
      <c r="C3" s="59"/>
      <c r="D3" s="90" t="s">
        <v>338</v>
      </c>
      <c r="E3" s="91"/>
      <c r="F3" s="92"/>
      <c r="G3" s="113" t="s">
        <v>239</v>
      </c>
      <c r="I3" s="31"/>
      <c r="J3" s="31"/>
      <c r="K3" s="31"/>
    </row>
    <row r="4" spans="1:11" s="6" customFormat="1" ht="18.95" customHeight="1" x14ac:dyDescent="0.2">
      <c r="A4" s="96" t="s">
        <v>2</v>
      </c>
      <c r="B4" s="60"/>
      <c r="C4" s="61"/>
      <c r="D4" s="93">
        <v>30713</v>
      </c>
      <c r="E4" s="94"/>
      <c r="F4" s="95"/>
      <c r="G4" s="2"/>
      <c r="H4" s="6" t="s">
        <v>240</v>
      </c>
      <c r="I4" s="5" t="s">
        <v>242</v>
      </c>
      <c r="J4" s="31">
        <f>+F35</f>
        <v>1000000</v>
      </c>
      <c r="K4" s="31"/>
    </row>
    <row r="5" spans="1:11" s="6" customFormat="1" ht="18.95" customHeight="1" x14ac:dyDescent="0.2">
      <c r="A5" s="106" t="s">
        <v>3</v>
      </c>
      <c r="B5" s="60"/>
      <c r="C5" s="61"/>
      <c r="D5" s="554" t="s">
        <v>293</v>
      </c>
      <c r="E5" s="555"/>
      <c r="F5" s="556"/>
      <c r="H5" s="6" t="s">
        <v>246</v>
      </c>
      <c r="I5" s="31"/>
      <c r="J5" s="110">
        <f>+F36</f>
        <v>50000</v>
      </c>
      <c r="K5" s="31"/>
    </row>
    <row r="6" spans="1:11" s="6" customFormat="1" ht="18.95" customHeight="1" x14ac:dyDescent="0.2">
      <c r="A6" s="96" t="s">
        <v>4</v>
      </c>
      <c r="B6" s="60"/>
      <c r="C6" s="61"/>
      <c r="D6" s="96" t="s">
        <v>341</v>
      </c>
      <c r="E6" s="97"/>
      <c r="F6" s="98"/>
      <c r="I6" s="5" t="s">
        <v>241</v>
      </c>
      <c r="J6" s="31">
        <f>J4-J5</f>
        <v>950000</v>
      </c>
      <c r="K6" s="31"/>
    </row>
    <row r="7" spans="1:11" s="6" customFormat="1" ht="18.95" customHeight="1" x14ac:dyDescent="0.2">
      <c r="A7" s="96" t="s">
        <v>5</v>
      </c>
      <c r="B7" s="60"/>
      <c r="C7" s="61"/>
      <c r="D7" s="96">
        <v>9811116835</v>
      </c>
      <c r="E7" s="97"/>
      <c r="F7" s="98"/>
      <c r="G7" s="3"/>
      <c r="H7" s="6" t="s">
        <v>244</v>
      </c>
      <c r="I7" s="24">
        <f>ROUND(J6*0.3,0)</f>
        <v>285000</v>
      </c>
      <c r="J7" s="31"/>
      <c r="K7" s="31"/>
    </row>
    <row r="8" spans="1:11" s="6" customFormat="1" ht="18.95" customHeight="1" x14ac:dyDescent="0.25">
      <c r="A8" s="96" t="s">
        <v>6</v>
      </c>
      <c r="B8" s="60"/>
      <c r="C8" s="61"/>
      <c r="D8" s="96" t="s">
        <v>183</v>
      </c>
      <c r="E8" s="97"/>
      <c r="F8" s="98"/>
      <c r="H8" s="6" t="s">
        <v>243</v>
      </c>
      <c r="I8" s="26">
        <f>+F37</f>
        <v>250000</v>
      </c>
      <c r="J8" s="110">
        <f>I7+I8</f>
        <v>535000</v>
      </c>
      <c r="K8" s="112">
        <f>J6-J8</f>
        <v>415000</v>
      </c>
    </row>
    <row r="9" spans="1:11" s="6" customFormat="1" ht="18.95" customHeight="1" x14ac:dyDescent="0.25">
      <c r="A9" s="96" t="s">
        <v>10</v>
      </c>
      <c r="B9" s="60"/>
      <c r="C9" s="61"/>
      <c r="D9" s="96" t="s">
        <v>11</v>
      </c>
      <c r="E9" s="97"/>
      <c r="F9" s="98"/>
      <c r="G9" s="113" t="s">
        <v>245</v>
      </c>
      <c r="J9" s="31"/>
      <c r="K9" s="31"/>
    </row>
    <row r="10" spans="1:11" s="6" customFormat="1" ht="18.95" customHeight="1" x14ac:dyDescent="0.25">
      <c r="A10" s="96" t="s">
        <v>12</v>
      </c>
      <c r="B10" s="60"/>
      <c r="C10" s="61"/>
      <c r="D10" s="99" t="s">
        <v>184</v>
      </c>
      <c r="E10" s="100"/>
      <c r="F10" s="101"/>
      <c r="G10" s="135">
        <v>1081</v>
      </c>
      <c r="H10" s="6" t="s">
        <v>247</v>
      </c>
      <c r="I10" s="116">
        <f>+D40</f>
        <v>42414</v>
      </c>
      <c r="J10" s="31">
        <f>+F41</f>
        <v>3090000</v>
      </c>
      <c r="K10" s="31"/>
    </row>
    <row r="11" spans="1:11" s="6" customFormat="1" ht="18.95" customHeight="1" x14ac:dyDescent="0.2">
      <c r="A11" s="96" t="s">
        <v>14</v>
      </c>
      <c r="B11" s="60"/>
      <c r="C11" s="61"/>
      <c r="D11" s="96" t="s">
        <v>177</v>
      </c>
      <c r="E11" s="97"/>
      <c r="F11" s="98"/>
      <c r="G11" s="136"/>
      <c r="H11" s="6" t="s">
        <v>251</v>
      </c>
      <c r="J11" s="31">
        <f>(+F42)*-1</f>
        <v>-30000</v>
      </c>
      <c r="K11" s="31"/>
    </row>
    <row r="12" spans="1:11" s="6" customFormat="1" ht="18.95" customHeight="1" x14ac:dyDescent="0.2">
      <c r="A12" s="96" t="s">
        <v>292</v>
      </c>
      <c r="B12" s="60"/>
      <c r="C12" s="61"/>
      <c r="D12" s="96" t="s">
        <v>231</v>
      </c>
      <c r="E12" s="97"/>
      <c r="F12" s="98"/>
      <c r="G12" s="136">
        <v>150</v>
      </c>
      <c r="H12" s="6" t="s">
        <v>252</v>
      </c>
      <c r="I12" s="116">
        <f>+D43</f>
        <v>31914</v>
      </c>
      <c r="J12" s="110">
        <f>ROUND((F43*G10/G12)*-1,0)</f>
        <v>-540500</v>
      </c>
      <c r="K12" s="31"/>
    </row>
    <row r="13" spans="1:11" s="6" customFormat="1" ht="18.95" customHeight="1" x14ac:dyDescent="0.2">
      <c r="A13" s="126" t="s">
        <v>290</v>
      </c>
      <c r="B13" s="60"/>
      <c r="C13" s="61"/>
      <c r="D13" s="96" t="s">
        <v>19</v>
      </c>
      <c r="E13" s="97"/>
      <c r="F13" s="98"/>
      <c r="G13" s="117"/>
      <c r="I13" s="31"/>
      <c r="J13" s="31">
        <f>SUM(J10:J12)</f>
        <v>2519500</v>
      </c>
      <c r="K13" s="31"/>
    </row>
    <row r="14" spans="1:11" s="6" customFormat="1" ht="30" customHeight="1" x14ac:dyDescent="0.25">
      <c r="A14" s="134" t="s">
        <v>337</v>
      </c>
      <c r="B14" s="60"/>
      <c r="C14" s="61"/>
      <c r="D14" s="539" t="s">
        <v>346</v>
      </c>
      <c r="E14" s="540"/>
      <c r="F14" s="548"/>
      <c r="G14" s="117"/>
      <c r="H14" s="6" t="s">
        <v>253</v>
      </c>
      <c r="I14" s="31"/>
      <c r="J14" s="110">
        <f>+F44</f>
        <v>1800000</v>
      </c>
      <c r="K14" s="112">
        <f>J13-J14</f>
        <v>719500</v>
      </c>
    </row>
    <row r="15" spans="1:11" s="6" customFormat="1" ht="18.95" customHeight="1" x14ac:dyDescent="0.25">
      <c r="A15" s="102" t="s">
        <v>22</v>
      </c>
      <c r="B15" s="63"/>
      <c r="C15" s="64"/>
      <c r="D15" s="102" t="s">
        <v>185</v>
      </c>
      <c r="E15" s="103"/>
      <c r="F15" s="104"/>
      <c r="G15" s="113" t="s">
        <v>254</v>
      </c>
      <c r="I15" s="31"/>
      <c r="J15" s="31"/>
      <c r="K15" s="31"/>
    </row>
    <row r="16" spans="1:11" s="6" customFormat="1" ht="20.100000000000001" customHeight="1" x14ac:dyDescent="0.2">
      <c r="A16" s="32" t="s">
        <v>234</v>
      </c>
      <c r="H16" s="6" t="s">
        <v>256</v>
      </c>
      <c r="I16" s="31"/>
      <c r="J16" s="31"/>
      <c r="K16" s="31"/>
    </row>
    <row r="17" spans="1:11" s="6" customFormat="1" ht="20.100000000000001" customHeight="1" x14ac:dyDescent="0.25">
      <c r="A17" s="43" t="s">
        <v>25</v>
      </c>
      <c r="B17" s="40"/>
      <c r="C17" s="41"/>
      <c r="D17" s="129" t="s">
        <v>178</v>
      </c>
      <c r="E17" s="129" t="s">
        <v>27</v>
      </c>
      <c r="F17" s="129" t="s">
        <v>179</v>
      </c>
      <c r="H17" s="6" t="s">
        <v>255</v>
      </c>
      <c r="I17" s="31"/>
      <c r="J17" s="31"/>
      <c r="K17" s="112">
        <f>+F47</f>
        <v>5000</v>
      </c>
    </row>
    <row r="18" spans="1:11" s="6" customFormat="1" ht="20.100000000000001" customHeight="1" x14ac:dyDescent="0.25">
      <c r="A18" s="43" t="s">
        <v>29</v>
      </c>
      <c r="B18" s="40"/>
      <c r="C18" s="41"/>
      <c r="D18" s="35">
        <f>+D4</f>
        <v>30713</v>
      </c>
      <c r="E18" s="35">
        <f>+D18</f>
        <v>30713</v>
      </c>
      <c r="F18" s="35">
        <f>+D18</f>
        <v>30713</v>
      </c>
      <c r="G18" s="113" t="s">
        <v>257</v>
      </c>
      <c r="I18" s="31"/>
      <c r="J18" s="31"/>
      <c r="K18" s="31"/>
    </row>
    <row r="19" spans="1:11" s="6" customFormat="1" ht="20.100000000000001" customHeight="1" x14ac:dyDescent="0.2">
      <c r="A19" s="43" t="s">
        <v>31</v>
      </c>
      <c r="B19" s="40"/>
      <c r="C19" s="41"/>
      <c r="D19" s="36">
        <v>0.4</v>
      </c>
      <c r="E19" s="37">
        <f>(1-D19)/2</f>
        <v>0.3</v>
      </c>
      <c r="F19" s="37">
        <f>+E19</f>
        <v>0.3</v>
      </c>
      <c r="G19" s="4"/>
      <c r="H19" s="6" t="s">
        <v>278</v>
      </c>
      <c r="I19" s="31"/>
      <c r="J19" s="31">
        <f>+I31</f>
        <v>2071750</v>
      </c>
      <c r="K19" s="31"/>
    </row>
    <row r="20" spans="1:11" s="6" customFormat="1" ht="55.5" customHeight="1" x14ac:dyDescent="0.25">
      <c r="A20" s="107" t="s">
        <v>235</v>
      </c>
      <c r="B20" s="40"/>
      <c r="C20" s="41"/>
      <c r="D20" s="38" t="s">
        <v>187</v>
      </c>
      <c r="E20" s="38" t="s">
        <v>186</v>
      </c>
      <c r="F20" s="38" t="s">
        <v>188</v>
      </c>
      <c r="H20" s="557" t="s">
        <v>279</v>
      </c>
      <c r="I20" s="557"/>
      <c r="J20" s="110">
        <f>+I35</f>
        <v>1333050</v>
      </c>
      <c r="K20" s="112">
        <f>J19-J20</f>
        <v>738700</v>
      </c>
    </row>
    <row r="21" spans="1:11" s="6" customFormat="1" ht="20.100000000000001" customHeight="1" x14ac:dyDescent="0.2">
      <c r="A21" s="43" t="s">
        <v>4</v>
      </c>
      <c r="B21" s="40"/>
      <c r="C21" s="41"/>
      <c r="D21" s="129" t="s">
        <v>180</v>
      </c>
      <c r="E21" s="129" t="s">
        <v>352</v>
      </c>
      <c r="F21" s="129" t="s">
        <v>351</v>
      </c>
      <c r="H21" s="6" t="s">
        <v>272</v>
      </c>
      <c r="I21" s="31">
        <f>+C78</f>
        <v>122890</v>
      </c>
      <c r="J21" s="31"/>
      <c r="K21" s="31"/>
    </row>
    <row r="22" spans="1:11" s="6" customFormat="1" ht="20.100000000000001" customHeight="1" x14ac:dyDescent="0.2">
      <c r="A22" s="96" t="s">
        <v>39</v>
      </c>
      <c r="B22" s="60"/>
      <c r="C22" s="60"/>
      <c r="D22" s="60" t="str">
        <f>+D17</f>
        <v xml:space="preserve">Mohd Sajid </v>
      </c>
      <c r="E22" s="60"/>
      <c r="F22" s="61"/>
      <c r="H22" s="6" t="s">
        <v>224</v>
      </c>
      <c r="I22" s="31">
        <f>+F81+F84</f>
        <v>102000</v>
      </c>
      <c r="J22" s="31"/>
      <c r="K22" s="31"/>
    </row>
    <row r="23" spans="1:11" s="6" customFormat="1" ht="20.100000000000001" customHeight="1" x14ac:dyDescent="0.2">
      <c r="A23" s="102" t="s">
        <v>237</v>
      </c>
      <c r="B23" s="63"/>
      <c r="C23" s="63"/>
      <c r="D23" s="63" t="s">
        <v>236</v>
      </c>
      <c r="E23" s="63"/>
      <c r="F23" s="64"/>
      <c r="G23" s="23" t="s">
        <v>226</v>
      </c>
      <c r="H23" s="6" t="s">
        <v>225</v>
      </c>
      <c r="I23" s="31">
        <f>F82*-1</f>
        <v>-12000</v>
      </c>
      <c r="J23" s="31"/>
      <c r="K23" s="31"/>
    </row>
    <row r="24" spans="1:11" s="6" customFormat="1" ht="20.100000000000001" customHeight="1" x14ac:dyDescent="0.2">
      <c r="A24" s="32" t="s">
        <v>197</v>
      </c>
      <c r="D24" s="34"/>
      <c r="E24" s="34" t="s">
        <v>238</v>
      </c>
      <c r="G24" s="6" t="s">
        <v>269</v>
      </c>
      <c r="H24" s="6" t="s">
        <v>258</v>
      </c>
      <c r="I24" s="31">
        <f>F85*-1</f>
        <v>-20000</v>
      </c>
      <c r="J24" s="31"/>
      <c r="K24" s="31"/>
    </row>
    <row r="25" spans="1:11" s="6" customFormat="1" ht="20.100000000000001" customHeight="1" x14ac:dyDescent="0.2">
      <c r="A25" s="127" t="s">
        <v>43</v>
      </c>
      <c r="B25" s="45"/>
      <c r="C25" s="558" t="s">
        <v>45</v>
      </c>
      <c r="D25" s="558"/>
      <c r="E25" s="558" t="s">
        <v>227</v>
      </c>
      <c r="F25" s="558"/>
      <c r="G25" s="34"/>
      <c r="H25" s="6" t="s">
        <v>259</v>
      </c>
      <c r="I25" s="31">
        <f>+C74</f>
        <v>328860</v>
      </c>
      <c r="J25" s="31"/>
      <c r="K25" s="31"/>
    </row>
    <row r="26" spans="1:11" s="6" customFormat="1" ht="20.100000000000001" customHeight="1" x14ac:dyDescent="0.2">
      <c r="A26" s="549" t="s">
        <v>47</v>
      </c>
      <c r="B26" s="550"/>
      <c r="C26" s="551">
        <v>25478963125</v>
      </c>
      <c r="D26" s="551"/>
      <c r="E26" s="551">
        <v>32568457824</v>
      </c>
      <c r="F26" s="551"/>
      <c r="G26" s="34"/>
      <c r="H26" s="6" t="s">
        <v>260</v>
      </c>
      <c r="I26" s="31">
        <f>(+I91+J91)*-1</f>
        <v>-360000</v>
      </c>
      <c r="J26" s="31"/>
      <c r="K26" s="31"/>
    </row>
    <row r="27" spans="1:11" s="6" customFormat="1" ht="20.100000000000001" customHeight="1" x14ac:dyDescent="0.2">
      <c r="A27" s="549" t="s">
        <v>48</v>
      </c>
      <c r="B27" s="550"/>
      <c r="C27" s="551" t="s">
        <v>211</v>
      </c>
      <c r="D27" s="551"/>
      <c r="E27" s="551" t="s">
        <v>310</v>
      </c>
      <c r="F27" s="551"/>
      <c r="G27" s="34" t="s">
        <v>271</v>
      </c>
      <c r="H27" s="6" t="s">
        <v>267</v>
      </c>
      <c r="I27" s="121">
        <f>+F48</f>
        <v>50000</v>
      </c>
      <c r="J27" s="31"/>
      <c r="K27" s="31"/>
    </row>
    <row r="28" spans="1:11" s="6" customFormat="1" ht="20.100000000000001" customHeight="1" x14ac:dyDescent="0.2">
      <c r="A28" s="549" t="s">
        <v>51</v>
      </c>
      <c r="B28" s="550"/>
      <c r="C28" s="551" t="s">
        <v>52</v>
      </c>
      <c r="D28" s="551"/>
      <c r="E28" s="551" t="s">
        <v>52</v>
      </c>
      <c r="F28" s="551"/>
      <c r="G28" s="34" t="s">
        <v>270</v>
      </c>
      <c r="H28" s="6" t="s">
        <v>261</v>
      </c>
      <c r="I28" s="110">
        <f>C75-(C97+C98+C99)*0.12</f>
        <v>60000.000000000058</v>
      </c>
      <c r="J28" s="31"/>
      <c r="K28" s="31"/>
    </row>
    <row r="29" spans="1:11" s="6" customFormat="1" ht="20.100000000000001" customHeight="1" x14ac:dyDescent="0.25">
      <c r="A29" s="46" t="s">
        <v>228</v>
      </c>
      <c r="B29" s="46"/>
      <c r="C29" s="551"/>
      <c r="D29" s="551"/>
      <c r="E29" s="552" t="s">
        <v>182</v>
      </c>
      <c r="F29" s="552"/>
      <c r="H29" s="25" t="s">
        <v>273</v>
      </c>
      <c r="I29" s="112">
        <f>SUM(I21:I28)</f>
        <v>271750.00000000006</v>
      </c>
      <c r="J29" s="31"/>
      <c r="K29" s="31"/>
    </row>
    <row r="30" spans="1:11" s="6" customFormat="1" ht="20.100000000000001" customHeight="1" x14ac:dyDescent="0.2">
      <c r="A30" s="32" t="s">
        <v>55</v>
      </c>
      <c r="E30" s="29">
        <v>42638</v>
      </c>
      <c r="H30" s="6" t="s">
        <v>275</v>
      </c>
      <c r="I30" s="31">
        <f>+C76</f>
        <v>1800000</v>
      </c>
      <c r="J30" s="31"/>
      <c r="K30" s="31"/>
    </row>
    <row r="31" spans="1:11" s="6" customFormat="1" ht="20.100000000000001" customHeight="1" thickBot="1" x14ac:dyDescent="0.3">
      <c r="A31" s="32" t="s">
        <v>56</v>
      </c>
      <c r="E31" s="34" t="s">
        <v>57</v>
      </c>
      <c r="H31" s="6" t="s">
        <v>274</v>
      </c>
      <c r="I31" s="118">
        <f>I30+I29</f>
        <v>2071750</v>
      </c>
      <c r="J31" s="31"/>
      <c r="K31" s="31"/>
    </row>
    <row r="32" spans="1:11" s="6" customFormat="1" ht="20.100000000000001" customHeight="1" thickTop="1" x14ac:dyDescent="0.25">
      <c r="A32" s="25" t="s">
        <v>198</v>
      </c>
      <c r="D32" s="3"/>
      <c r="H32" s="25" t="s">
        <v>276</v>
      </c>
      <c r="I32" s="31"/>
      <c r="J32" s="31"/>
      <c r="K32" s="31"/>
    </row>
    <row r="33" spans="1:11" s="6" customFormat="1" ht="20.100000000000001" customHeight="1" x14ac:dyDescent="0.25">
      <c r="A33" s="65" t="s">
        <v>59</v>
      </c>
      <c r="B33" s="58"/>
      <c r="C33" s="58"/>
      <c r="D33" s="74"/>
      <c r="E33" s="58"/>
      <c r="F33" s="59"/>
      <c r="H33" s="6" t="s">
        <v>318</v>
      </c>
      <c r="I33" s="31">
        <f>300000*0.9</f>
        <v>270000</v>
      </c>
      <c r="J33" s="31"/>
      <c r="K33" s="31"/>
    </row>
    <row r="34" spans="1:11" s="6" customFormat="1" ht="30" customHeight="1" x14ac:dyDescent="0.2">
      <c r="A34" s="539" t="s">
        <v>291</v>
      </c>
      <c r="B34" s="540"/>
      <c r="C34" s="540"/>
      <c r="D34" s="540"/>
      <c r="E34" s="540"/>
      <c r="F34" s="548"/>
      <c r="H34" s="6" t="s">
        <v>317</v>
      </c>
      <c r="I34" s="31">
        <f>(I31-300000)*0.6</f>
        <v>1063050</v>
      </c>
      <c r="J34" s="31"/>
      <c r="K34" s="31"/>
    </row>
    <row r="35" spans="1:11" s="6" customFormat="1" ht="20.100000000000001" customHeight="1" thickBot="1" x14ac:dyDescent="0.3">
      <c r="A35" s="96" t="s">
        <v>191</v>
      </c>
      <c r="B35" s="75"/>
      <c r="C35" s="75"/>
      <c r="D35" s="75"/>
      <c r="E35" s="75"/>
      <c r="F35" s="70">
        <v>1000000</v>
      </c>
      <c r="H35" s="6" t="s">
        <v>277</v>
      </c>
      <c r="I35" s="118">
        <f>SUM(I33:I34)</f>
        <v>1333050</v>
      </c>
      <c r="J35" s="31"/>
      <c r="K35" s="31"/>
    </row>
    <row r="36" spans="1:11" s="6" customFormat="1" ht="20.100000000000001" customHeight="1" thickTop="1" x14ac:dyDescent="0.2">
      <c r="A36" s="96" t="s">
        <v>192</v>
      </c>
      <c r="B36" s="60"/>
      <c r="C36" s="60"/>
      <c r="D36" s="60"/>
      <c r="E36" s="27"/>
      <c r="F36" s="71">
        <f>ROUND(F35*0.05,0)</f>
        <v>50000</v>
      </c>
      <c r="G36" s="5"/>
      <c r="I36" s="31"/>
      <c r="J36" s="31"/>
      <c r="K36" s="31"/>
    </row>
    <row r="37" spans="1:11" s="6" customFormat="1" ht="20.100000000000001" customHeight="1" x14ac:dyDescent="0.25">
      <c r="A37" s="96" t="s">
        <v>63</v>
      </c>
      <c r="B37" s="60"/>
      <c r="C37" s="60"/>
      <c r="D37" s="60"/>
      <c r="E37" s="69"/>
      <c r="F37" s="71">
        <f>ROUND(F35*0.25,0)</f>
        <v>250000</v>
      </c>
      <c r="G37" s="34"/>
      <c r="H37" s="123" t="s">
        <v>280</v>
      </c>
      <c r="I37" s="122"/>
      <c r="J37" s="122"/>
      <c r="K37" s="112">
        <f>SUM(K3:K36)</f>
        <v>1878200</v>
      </c>
    </row>
    <row r="38" spans="1:11" s="6" customFormat="1" ht="20.100000000000001" customHeight="1" x14ac:dyDescent="0.2">
      <c r="A38" s="102" t="s">
        <v>296</v>
      </c>
      <c r="B38" s="63"/>
      <c r="C38" s="63"/>
      <c r="D38" s="63"/>
      <c r="E38" s="72"/>
      <c r="F38" s="131" t="s">
        <v>297</v>
      </c>
      <c r="G38" s="34"/>
      <c r="H38" s="6" t="s">
        <v>281</v>
      </c>
      <c r="I38" s="31"/>
      <c r="J38" s="31"/>
      <c r="K38" s="31">
        <f>+F48</f>
        <v>50000</v>
      </c>
    </row>
    <row r="39" spans="1:11" s="6" customFormat="1" ht="20.100000000000001" customHeight="1" x14ac:dyDescent="0.25">
      <c r="A39" s="65" t="s">
        <v>204</v>
      </c>
      <c r="B39" s="58"/>
      <c r="C39" s="58"/>
      <c r="D39" s="58"/>
      <c r="E39" s="66"/>
      <c r="F39" s="67"/>
      <c r="G39" s="34"/>
      <c r="H39" s="6" t="s">
        <v>284</v>
      </c>
      <c r="I39" s="31"/>
      <c r="J39" s="31"/>
      <c r="K39" s="31">
        <f>K37-K38</f>
        <v>1828200</v>
      </c>
    </row>
    <row r="40" spans="1:11" s="6" customFormat="1" ht="20.100000000000001" customHeight="1" x14ac:dyDescent="0.2">
      <c r="A40" s="96" t="s">
        <v>248</v>
      </c>
      <c r="B40" s="60"/>
      <c r="C40" s="60"/>
      <c r="D40" s="114">
        <v>42414</v>
      </c>
      <c r="E40" s="69"/>
      <c r="F40" s="70">
        <v>3000000</v>
      </c>
      <c r="G40" s="34"/>
      <c r="H40" s="44" t="s">
        <v>282</v>
      </c>
      <c r="I40" s="28">
        <v>0.3</v>
      </c>
      <c r="J40" s="31">
        <f>ROUND((K39-K14)*0.3,0)</f>
        <v>332610</v>
      </c>
      <c r="K40" s="31"/>
    </row>
    <row r="41" spans="1:11" s="6" customFormat="1" ht="20.100000000000001" customHeight="1" x14ac:dyDescent="0.2">
      <c r="A41" s="96" t="s">
        <v>69</v>
      </c>
      <c r="B41" s="60"/>
      <c r="C41" s="60"/>
      <c r="D41" s="60"/>
      <c r="E41" s="60"/>
      <c r="F41" s="71">
        <f>ROUND(F40*1.03,0)</f>
        <v>3090000</v>
      </c>
      <c r="G41" s="34"/>
      <c r="H41" s="44" t="s">
        <v>283</v>
      </c>
      <c r="I41" s="28">
        <v>0.2</v>
      </c>
      <c r="J41" s="110">
        <f>ROUND(K14*I41,0)</f>
        <v>143900</v>
      </c>
      <c r="K41" s="31"/>
    </row>
    <row r="42" spans="1:11" s="6" customFormat="1" ht="20.100000000000001" customHeight="1" x14ac:dyDescent="0.2">
      <c r="A42" s="96" t="s">
        <v>71</v>
      </c>
      <c r="B42" s="60"/>
      <c r="C42" s="60"/>
      <c r="D42" s="60"/>
      <c r="E42" s="27"/>
      <c r="F42" s="71">
        <f>ROUND(F40*0.01,0)</f>
        <v>30000</v>
      </c>
      <c r="G42" s="5"/>
      <c r="H42" s="44"/>
      <c r="I42" s="31"/>
      <c r="J42" s="31">
        <f>SUM(J40:J41)</f>
        <v>476510</v>
      </c>
      <c r="K42" s="31"/>
    </row>
    <row r="43" spans="1:11" s="6" customFormat="1" ht="20.100000000000001" customHeight="1" x14ac:dyDescent="0.2">
      <c r="A43" s="96" t="s">
        <v>249</v>
      </c>
      <c r="B43" s="60"/>
      <c r="C43" s="60"/>
      <c r="D43" s="68">
        <f>D40-10500</f>
        <v>31914</v>
      </c>
      <c r="E43" s="27"/>
      <c r="F43" s="71">
        <f>ROUND(F40/40,0)</f>
        <v>75000</v>
      </c>
      <c r="G43" s="5"/>
      <c r="H43" s="44" t="s">
        <v>285</v>
      </c>
      <c r="I43" s="28">
        <v>0.03</v>
      </c>
      <c r="J43" s="110">
        <f>ROUND(I43*J42,0)</f>
        <v>14295</v>
      </c>
    </row>
    <row r="44" spans="1:11" s="6" customFormat="1" ht="20.100000000000001" customHeight="1" x14ac:dyDescent="0.25">
      <c r="A44" s="102" t="s">
        <v>250</v>
      </c>
      <c r="B44" s="63"/>
      <c r="C44" s="63"/>
      <c r="D44" s="115">
        <f>D40+125</f>
        <v>42539</v>
      </c>
      <c r="E44" s="72"/>
      <c r="F44" s="73">
        <f>ROUND(F40*0.6,0)</f>
        <v>1800000</v>
      </c>
      <c r="G44" s="34"/>
      <c r="H44" s="6" t="s">
        <v>286</v>
      </c>
      <c r="I44" s="28"/>
      <c r="K44" s="125">
        <f>J42+J43</f>
        <v>490805</v>
      </c>
    </row>
    <row r="45" spans="1:11" s="6" customFormat="1" ht="20.100000000000001" customHeight="1" x14ac:dyDescent="0.25">
      <c r="A45" s="65" t="s">
        <v>79</v>
      </c>
      <c r="B45" s="58"/>
      <c r="C45" s="58"/>
      <c r="D45" s="60"/>
      <c r="E45" s="60"/>
      <c r="F45" s="67"/>
      <c r="H45" s="6" t="s">
        <v>287</v>
      </c>
      <c r="J45" s="31">
        <f>ROUND(J4*0.1,0)</f>
        <v>100000</v>
      </c>
      <c r="K45" s="31"/>
    </row>
    <row r="46" spans="1:11" s="6" customFormat="1" ht="20.25" customHeight="1" x14ac:dyDescent="0.2">
      <c r="A46" s="539" t="s">
        <v>342</v>
      </c>
      <c r="B46" s="540"/>
      <c r="C46" s="540"/>
      <c r="D46" s="540"/>
      <c r="E46" s="540"/>
      <c r="F46" s="70">
        <v>50000</v>
      </c>
      <c r="G46" s="34"/>
      <c r="H46" s="6" t="s">
        <v>288</v>
      </c>
      <c r="J46" s="110">
        <f>F50+F51</f>
        <v>66000</v>
      </c>
      <c r="K46" s="31">
        <f>J45+J46</f>
        <v>166000</v>
      </c>
    </row>
    <row r="47" spans="1:11" s="6" customFormat="1" ht="20.100000000000001" customHeight="1" x14ac:dyDescent="0.25">
      <c r="A47" s="102" t="s">
        <v>189</v>
      </c>
      <c r="B47" s="103"/>
      <c r="C47" s="103"/>
      <c r="D47" s="103"/>
      <c r="E47" s="105"/>
      <c r="F47" s="73">
        <f>ROUND(F46/10,0)</f>
        <v>5000</v>
      </c>
      <c r="G47" s="5"/>
      <c r="H47" s="123" t="s">
        <v>289</v>
      </c>
      <c r="I47" s="31"/>
      <c r="K47" s="124">
        <f>K44-K46</f>
        <v>324805</v>
      </c>
    </row>
    <row r="48" spans="1:11" s="6" customFormat="1" ht="20.100000000000001" customHeight="1" x14ac:dyDescent="0.2">
      <c r="A48" s="6" t="s">
        <v>193</v>
      </c>
      <c r="E48" s="5"/>
      <c r="F48" s="30">
        <v>50000</v>
      </c>
      <c r="G48" s="5"/>
    </row>
    <row r="49" spans="1:11" s="6" customFormat="1" ht="20.100000000000001" customHeight="1" x14ac:dyDescent="0.2">
      <c r="A49" s="6" t="s">
        <v>194</v>
      </c>
      <c r="F49" s="24"/>
      <c r="K49" s="31"/>
    </row>
    <row r="50" spans="1:11" s="6" customFormat="1" ht="20.100000000000001" customHeight="1" x14ac:dyDescent="0.2">
      <c r="A50" s="6" t="s">
        <v>313</v>
      </c>
      <c r="E50" s="5"/>
      <c r="F50" s="24">
        <f>ROUND(F54/400,0)</f>
        <v>30000</v>
      </c>
      <c r="G50" s="5"/>
      <c r="I50" s="31"/>
      <c r="J50" s="31"/>
      <c r="K50" s="31"/>
    </row>
    <row r="51" spans="1:11" s="6" customFormat="1" ht="20.100000000000001" customHeight="1" x14ac:dyDescent="0.2">
      <c r="A51" s="6" t="s">
        <v>314</v>
      </c>
      <c r="E51" s="5"/>
      <c r="F51" s="24">
        <f>ROUND(F50*1.2,0)</f>
        <v>36000</v>
      </c>
      <c r="G51" s="5"/>
      <c r="I51" s="31"/>
      <c r="J51" s="31"/>
      <c r="K51" s="31"/>
    </row>
    <row r="52" spans="1:11" s="6" customFormat="1" ht="18" customHeight="1" x14ac:dyDescent="0.2">
      <c r="A52" s="541" t="s">
        <v>200</v>
      </c>
      <c r="B52" s="542"/>
      <c r="C52" s="542"/>
      <c r="D52" s="542"/>
      <c r="E52" s="542"/>
      <c r="F52" s="543"/>
      <c r="I52" s="31"/>
      <c r="J52" s="31"/>
      <c r="K52" s="31"/>
    </row>
    <row r="53" spans="1:11" s="6" customFormat="1" ht="20.100000000000001" customHeight="1" x14ac:dyDescent="0.25">
      <c r="A53" s="544" t="s">
        <v>232</v>
      </c>
      <c r="B53" s="544"/>
      <c r="C53" s="544"/>
      <c r="D53" s="544"/>
      <c r="E53" s="544"/>
      <c r="F53" s="544"/>
      <c r="G53" s="25"/>
      <c r="H53" s="25"/>
      <c r="I53" s="112"/>
      <c r="J53" s="31"/>
      <c r="K53" s="31"/>
    </row>
    <row r="54" spans="1:11" s="6" customFormat="1" ht="20.100000000000001" customHeight="1" x14ac:dyDescent="0.2">
      <c r="A54" s="47" t="s">
        <v>202</v>
      </c>
      <c r="B54" s="48"/>
      <c r="C54" s="51">
        <f>ROUND(F57*1.1,0)</f>
        <v>1346400</v>
      </c>
      <c r="D54" s="50" t="s">
        <v>199</v>
      </c>
      <c r="E54" s="49"/>
      <c r="F54" s="53">
        <v>12000000</v>
      </c>
      <c r="G54" s="34"/>
      <c r="I54" s="31"/>
      <c r="J54" s="31"/>
      <c r="K54" s="31"/>
    </row>
    <row r="55" spans="1:11" s="6" customFormat="1" ht="20.100000000000001" customHeight="1" x14ac:dyDescent="0.2">
      <c r="A55" s="47" t="s">
        <v>203</v>
      </c>
      <c r="B55" s="48"/>
      <c r="C55" s="51">
        <f>ROUND(F54*0.525,0)</f>
        <v>6300000</v>
      </c>
      <c r="D55" s="50" t="s">
        <v>233</v>
      </c>
      <c r="E55" s="49"/>
      <c r="F55" s="51">
        <f>ROUND(F54*0.01,0)</f>
        <v>120000</v>
      </c>
      <c r="G55" s="34"/>
      <c r="I55" s="31"/>
      <c r="J55" s="31"/>
      <c r="K55" s="31"/>
    </row>
    <row r="56" spans="1:11" s="6" customFormat="1" ht="20.100000000000001" customHeight="1" x14ac:dyDescent="0.2">
      <c r="A56" s="47" t="s">
        <v>98</v>
      </c>
      <c r="B56" s="48"/>
      <c r="C56" s="51">
        <f>ROUND(C55/100,0)+5000</f>
        <v>68000</v>
      </c>
      <c r="D56" s="50" t="s">
        <v>201</v>
      </c>
      <c r="E56" s="85"/>
      <c r="F56" s="51">
        <f>ROUND(F55*1.15,0)</f>
        <v>138000</v>
      </c>
      <c r="G56" s="34"/>
      <c r="I56" s="31">
        <f>SUM(C54:C74)+C77-C74</f>
        <v>10810250</v>
      </c>
      <c r="J56" s="31"/>
      <c r="K56" s="31"/>
    </row>
    <row r="57" spans="1:11" s="6" customFormat="1" ht="20.100000000000001" customHeight="1" x14ac:dyDescent="0.2">
      <c r="A57" s="47" t="s">
        <v>214</v>
      </c>
      <c r="B57" s="48"/>
      <c r="C57" s="51">
        <f>ROUND(C56*1.1,0)</f>
        <v>74800</v>
      </c>
      <c r="D57" s="50" t="s">
        <v>164</v>
      </c>
      <c r="E57" s="85"/>
      <c r="F57" s="51">
        <f>ROUND(F54/10+F55/5,0)</f>
        <v>1224000</v>
      </c>
      <c r="G57" s="34"/>
      <c r="I57" s="31"/>
      <c r="J57" s="31"/>
      <c r="K57" s="31"/>
    </row>
    <row r="58" spans="1:11" s="6" customFormat="1" ht="20.100000000000001" customHeight="1" x14ac:dyDescent="0.2">
      <c r="A58" s="47" t="s">
        <v>102</v>
      </c>
      <c r="B58" s="48"/>
      <c r="C58" s="51">
        <f>ROUND(F56/4,0)</f>
        <v>34500</v>
      </c>
      <c r="D58" s="84"/>
      <c r="E58" s="69"/>
      <c r="F58" s="86"/>
      <c r="G58" s="34"/>
      <c r="I58" s="31"/>
      <c r="J58" s="31"/>
      <c r="K58" s="31"/>
    </row>
    <row r="59" spans="1:11" s="6" customFormat="1" ht="20.100000000000001" customHeight="1" x14ac:dyDescent="0.2">
      <c r="A59" s="47" t="s">
        <v>103</v>
      </c>
      <c r="B59" s="48"/>
      <c r="C59" s="52">
        <f>ROUND(C58/5,0)</f>
        <v>6900</v>
      </c>
      <c r="D59" s="84"/>
      <c r="E59" s="27"/>
      <c r="F59" s="86"/>
      <c r="G59" s="5"/>
      <c r="I59" s="31"/>
      <c r="J59" s="31"/>
      <c r="K59" s="31"/>
    </row>
    <row r="60" spans="1:11" s="6" customFormat="1" ht="20.100000000000001" customHeight="1" x14ac:dyDescent="0.2">
      <c r="A60" s="47" t="s">
        <v>205</v>
      </c>
      <c r="B60" s="48"/>
      <c r="C60" s="51">
        <f>C58+C59</f>
        <v>41400</v>
      </c>
      <c r="D60" s="60"/>
      <c r="E60" s="27"/>
      <c r="F60" s="86"/>
      <c r="G60" s="5"/>
      <c r="I60" s="31"/>
      <c r="J60" s="31"/>
      <c r="K60" s="31"/>
    </row>
    <row r="61" spans="1:11" s="6" customFormat="1" ht="20.100000000000001" customHeight="1" x14ac:dyDescent="0.2">
      <c r="A61" s="47" t="s">
        <v>206</v>
      </c>
      <c r="B61" s="48"/>
      <c r="C61" s="51">
        <f>ROUND(+C58*1.1,0)</f>
        <v>37950</v>
      </c>
      <c r="D61" s="60"/>
      <c r="E61" s="27"/>
      <c r="F61" s="86"/>
      <c r="G61" s="5"/>
      <c r="I61" s="31"/>
      <c r="J61" s="31"/>
      <c r="K61" s="31"/>
    </row>
    <row r="62" spans="1:11" s="6" customFormat="1" ht="20.100000000000001" customHeight="1" x14ac:dyDescent="0.2">
      <c r="A62" s="47" t="s">
        <v>207</v>
      </c>
      <c r="B62" s="48"/>
      <c r="C62" s="51">
        <f>ROUND(+F55/2,0)</f>
        <v>60000</v>
      </c>
      <c r="D62" s="60"/>
      <c r="E62" s="27"/>
      <c r="F62" s="86"/>
      <c r="G62" s="5"/>
      <c r="I62" s="31"/>
      <c r="J62" s="31"/>
      <c r="K62" s="31"/>
    </row>
    <row r="63" spans="1:11" s="6" customFormat="1" ht="20.100000000000001" customHeight="1" x14ac:dyDescent="0.2">
      <c r="A63" s="47" t="s">
        <v>107</v>
      </c>
      <c r="B63" s="48"/>
      <c r="C63" s="51">
        <f>ROUND(F54*0.15,0)</f>
        <v>1800000</v>
      </c>
      <c r="D63" s="60"/>
      <c r="E63" s="69"/>
      <c r="F63" s="86"/>
      <c r="G63" s="34"/>
      <c r="I63" s="31"/>
      <c r="J63" s="31"/>
      <c r="K63" s="31"/>
    </row>
    <row r="64" spans="1:11" s="6" customFormat="1" ht="20.100000000000001" customHeight="1" x14ac:dyDescent="0.2">
      <c r="A64" s="47" t="s">
        <v>109</v>
      </c>
      <c r="B64" s="48"/>
      <c r="C64" s="51">
        <f>ROUND(+C59+2000,0)</f>
        <v>8900</v>
      </c>
      <c r="D64" s="60"/>
      <c r="E64" s="27"/>
      <c r="F64" s="86"/>
      <c r="G64" s="5"/>
      <c r="I64" s="31"/>
      <c r="J64" s="31"/>
      <c r="K64" s="31"/>
    </row>
    <row r="65" spans="1:11" s="6" customFormat="1" ht="20.100000000000001" customHeight="1" x14ac:dyDescent="0.2">
      <c r="A65" s="47" t="s">
        <v>110</v>
      </c>
      <c r="B65" s="48"/>
      <c r="C65" s="51">
        <f>+C62+C60</f>
        <v>101400</v>
      </c>
      <c r="D65" s="60"/>
      <c r="E65" s="27"/>
      <c r="F65" s="86"/>
      <c r="G65" s="5"/>
      <c r="I65" s="31"/>
      <c r="J65" s="31"/>
      <c r="K65" s="31"/>
    </row>
    <row r="66" spans="1:11" s="6" customFormat="1" ht="20.100000000000001" customHeight="1" x14ac:dyDescent="0.2">
      <c r="A66" s="47" t="s">
        <v>111</v>
      </c>
      <c r="B66" s="48"/>
      <c r="C66" s="51">
        <f>ROUND(F54/125,0)</f>
        <v>96000</v>
      </c>
      <c r="D66" s="60"/>
      <c r="E66" s="27"/>
      <c r="F66" s="86"/>
      <c r="G66" s="5"/>
      <c r="I66" s="31"/>
      <c r="J66" s="31"/>
      <c r="K66" s="31"/>
    </row>
    <row r="67" spans="1:11" s="6" customFormat="1" ht="20.100000000000001" customHeight="1" x14ac:dyDescent="0.2">
      <c r="A67" s="47" t="s">
        <v>208</v>
      </c>
      <c r="B67" s="48"/>
      <c r="C67" s="51">
        <f>ROUND(C66*2.25,0)</f>
        <v>216000</v>
      </c>
      <c r="D67" s="60"/>
      <c r="E67" s="69"/>
      <c r="F67" s="86"/>
      <c r="G67" s="34"/>
      <c r="I67" s="31"/>
      <c r="J67" s="31"/>
      <c r="K67" s="31"/>
    </row>
    <row r="68" spans="1:11" s="6" customFormat="1" ht="20.100000000000001" customHeight="1" x14ac:dyDescent="0.2">
      <c r="A68" s="47" t="s">
        <v>114</v>
      </c>
      <c r="B68" s="48"/>
      <c r="C68" s="51">
        <f>ROUND(+C62/2,0)</f>
        <v>30000</v>
      </c>
      <c r="D68" s="60"/>
      <c r="E68" s="27"/>
      <c r="F68" s="86"/>
      <c r="G68" s="5"/>
      <c r="I68" s="31"/>
      <c r="J68" s="31"/>
      <c r="K68" s="31"/>
    </row>
    <row r="69" spans="1:11" s="6" customFormat="1" ht="20.100000000000001" customHeight="1" x14ac:dyDescent="0.2">
      <c r="A69" s="47" t="s">
        <v>209</v>
      </c>
      <c r="B69" s="48"/>
      <c r="C69" s="51">
        <f>C68+C66</f>
        <v>126000</v>
      </c>
      <c r="D69" s="60"/>
      <c r="E69" s="27"/>
      <c r="F69" s="86"/>
      <c r="G69" s="5"/>
      <c r="I69" s="31"/>
      <c r="J69" s="31"/>
      <c r="K69" s="31"/>
    </row>
    <row r="70" spans="1:11" s="6" customFormat="1" ht="20.100000000000001" customHeight="1" x14ac:dyDescent="0.2">
      <c r="A70" s="47" t="s">
        <v>116</v>
      </c>
      <c r="B70" s="48"/>
      <c r="C70" s="51">
        <f>ROUND(F55*0.4,0)</f>
        <v>48000</v>
      </c>
      <c r="D70" s="60"/>
      <c r="E70" s="69"/>
      <c r="F70" s="86"/>
      <c r="G70" s="34"/>
      <c r="I70" s="31"/>
      <c r="J70" s="31"/>
      <c r="K70" s="31"/>
    </row>
    <row r="71" spans="1:11" s="6" customFormat="1" ht="20.100000000000001" customHeight="1" x14ac:dyDescent="0.2">
      <c r="A71" s="47" t="s">
        <v>118</v>
      </c>
      <c r="B71" s="48"/>
      <c r="C71" s="51">
        <f>ROUND(C63*0.015,0)</f>
        <v>27000</v>
      </c>
      <c r="D71" s="60"/>
      <c r="E71" s="27"/>
      <c r="F71" s="86"/>
      <c r="G71" s="5"/>
      <c r="I71" s="31"/>
      <c r="J71" s="31"/>
      <c r="K71" s="31"/>
    </row>
    <row r="72" spans="1:11" s="6" customFormat="1" ht="20.100000000000001" customHeight="1" x14ac:dyDescent="0.2">
      <c r="A72" s="47" t="s">
        <v>119</v>
      </c>
      <c r="B72" s="48"/>
      <c r="C72" s="51">
        <f>ROUND(F54*0.016,0)</f>
        <v>192000</v>
      </c>
      <c r="D72" s="60"/>
      <c r="E72" s="69"/>
      <c r="F72" s="86"/>
      <c r="G72" s="34"/>
      <c r="I72" s="31"/>
      <c r="J72" s="31"/>
      <c r="K72" s="31"/>
    </row>
    <row r="73" spans="1:11" s="6" customFormat="1" ht="20.100000000000001" customHeight="1" x14ac:dyDescent="0.2">
      <c r="A73" s="47" t="s">
        <v>122</v>
      </c>
      <c r="B73" s="48"/>
      <c r="C73" s="51">
        <f>ROUND(F54*0.0015,0)</f>
        <v>18000</v>
      </c>
      <c r="D73" s="60"/>
      <c r="E73" s="27"/>
      <c r="F73" s="86"/>
      <c r="G73" s="5"/>
      <c r="I73" s="31"/>
      <c r="J73" s="31"/>
      <c r="K73" s="31"/>
    </row>
    <row r="74" spans="1:11" s="6" customFormat="1" ht="20.100000000000001" customHeight="1" x14ac:dyDescent="0.2">
      <c r="A74" s="47" t="s">
        <v>123</v>
      </c>
      <c r="B74" s="48"/>
      <c r="C74" s="51">
        <f>ROUND(E92*0.18+F92*0.25,0)</f>
        <v>328860</v>
      </c>
      <c r="D74" s="60"/>
      <c r="E74" s="69"/>
      <c r="F74" s="86"/>
      <c r="G74" s="34"/>
      <c r="I74" s="31"/>
      <c r="J74" s="31"/>
      <c r="K74" s="31"/>
    </row>
    <row r="75" spans="1:11" s="6" customFormat="1" ht="20.100000000000001" customHeight="1" x14ac:dyDescent="0.2">
      <c r="A75" s="47" t="s">
        <v>215</v>
      </c>
      <c r="B75" s="48"/>
      <c r="C75" s="51">
        <f>(C97+C98+C99)*0.14</f>
        <v>420000.00000000006</v>
      </c>
      <c r="D75" s="60"/>
      <c r="E75" s="69"/>
      <c r="F75" s="86"/>
      <c r="G75" s="34"/>
      <c r="I75" s="31"/>
      <c r="J75" s="31"/>
      <c r="K75" s="31"/>
    </row>
    <row r="76" spans="1:11" s="6" customFormat="1" ht="25.5" customHeight="1" x14ac:dyDescent="0.2">
      <c r="A76" s="545" t="s">
        <v>216</v>
      </c>
      <c r="B76" s="546"/>
      <c r="C76" s="53">
        <f>50000*12*3</f>
        <v>1800000</v>
      </c>
      <c r="D76" s="60"/>
      <c r="E76" s="69"/>
      <c r="F76" s="86"/>
      <c r="G76" s="34"/>
      <c r="I76" s="31"/>
      <c r="J76" s="31"/>
      <c r="K76" s="31"/>
    </row>
    <row r="77" spans="1:11" s="6" customFormat="1" ht="20.100000000000001" customHeight="1" x14ac:dyDescent="0.2">
      <c r="A77" s="47" t="s">
        <v>125</v>
      </c>
      <c r="B77" s="48"/>
      <c r="C77" s="51">
        <f>F81+F84+F48+25000</f>
        <v>177000</v>
      </c>
      <c r="D77" s="60"/>
      <c r="E77" s="69"/>
      <c r="F77" s="86"/>
      <c r="G77" s="34"/>
      <c r="I77" s="31"/>
      <c r="J77" s="31"/>
      <c r="K77" s="31"/>
    </row>
    <row r="78" spans="1:11" s="6" customFormat="1" ht="20.100000000000001" customHeight="1" x14ac:dyDescent="0.2">
      <c r="A78" s="54" t="s">
        <v>126</v>
      </c>
      <c r="B78" s="55"/>
      <c r="C78" s="56">
        <f>F79-SUM(C54:C77)</f>
        <v>122890</v>
      </c>
      <c r="D78" s="60"/>
      <c r="E78" s="133" t="s">
        <v>298</v>
      </c>
      <c r="F78" s="87"/>
      <c r="G78" s="27"/>
      <c r="I78" s="31"/>
      <c r="J78" s="31"/>
      <c r="K78" s="31"/>
    </row>
    <row r="79" spans="1:11" s="6" customFormat="1" ht="20.100000000000001" customHeight="1" thickBot="1" x14ac:dyDescent="0.3">
      <c r="A79" s="88"/>
      <c r="B79" s="57"/>
      <c r="C79" s="81">
        <f>+F79</f>
        <v>13482000</v>
      </c>
      <c r="D79" s="57"/>
      <c r="E79" s="132"/>
      <c r="F79" s="81">
        <f>SUM(F54:F70)</f>
        <v>13482000</v>
      </c>
      <c r="G79" s="27"/>
      <c r="I79" s="31"/>
      <c r="J79" s="31"/>
      <c r="K79" s="31"/>
    </row>
    <row r="80" spans="1:11" s="6" customFormat="1" ht="26.25" customHeight="1" thickTop="1" x14ac:dyDescent="0.25">
      <c r="A80" s="25" t="s">
        <v>134</v>
      </c>
      <c r="I80" s="31"/>
      <c r="J80" s="31"/>
      <c r="K80" s="31"/>
    </row>
    <row r="81" spans="1:11" s="6" customFormat="1" ht="20.100000000000001" customHeight="1" x14ac:dyDescent="0.2">
      <c r="A81" s="32" t="s">
        <v>333</v>
      </c>
      <c r="B81" s="32"/>
      <c r="C81" s="32"/>
      <c r="D81" s="32"/>
      <c r="E81" s="32"/>
      <c r="F81" s="31">
        <f>ROUND(+C73*2,0)</f>
        <v>36000</v>
      </c>
      <c r="I81" s="31"/>
      <c r="J81" s="31"/>
      <c r="K81" s="31"/>
    </row>
    <row r="82" spans="1:11" s="6" customFormat="1" ht="20.100000000000001" customHeight="1" x14ac:dyDescent="0.2">
      <c r="A82" s="32" t="s">
        <v>268</v>
      </c>
      <c r="B82" s="32"/>
      <c r="C82" s="32"/>
      <c r="D82" s="32"/>
      <c r="E82" s="120">
        <f>+D40</f>
        <v>42414</v>
      </c>
      <c r="F82" s="31">
        <f>F55/10</f>
        <v>12000</v>
      </c>
      <c r="I82" s="31"/>
      <c r="J82" s="31"/>
      <c r="K82" s="31"/>
    </row>
    <row r="83" spans="1:11" s="6" customFormat="1" ht="20.100000000000001" customHeight="1" x14ac:dyDescent="0.2">
      <c r="A83" s="32" t="s">
        <v>210</v>
      </c>
      <c r="B83" s="32"/>
      <c r="C83" s="32"/>
      <c r="D83" s="32"/>
      <c r="E83" s="32"/>
      <c r="F83" s="31">
        <f>+C60</f>
        <v>41400</v>
      </c>
      <c r="I83" s="31"/>
      <c r="J83" s="31"/>
      <c r="K83" s="31"/>
    </row>
    <row r="84" spans="1:11" s="6" customFormat="1" ht="20.100000000000001" customHeight="1" x14ac:dyDescent="0.2">
      <c r="A84" s="32" t="s">
        <v>144</v>
      </c>
      <c r="B84" s="32"/>
      <c r="C84" s="32"/>
      <c r="D84" s="32"/>
      <c r="E84" s="32"/>
      <c r="F84" s="31">
        <f>+F50+F51</f>
        <v>66000</v>
      </c>
      <c r="I84" s="31"/>
      <c r="J84" s="31"/>
      <c r="K84" s="31"/>
    </row>
    <row r="85" spans="1:11" s="6" customFormat="1" ht="30.75" customHeight="1" x14ac:dyDescent="0.2">
      <c r="A85" s="547" t="s">
        <v>343</v>
      </c>
      <c r="B85" s="547"/>
      <c r="C85" s="547"/>
      <c r="D85" s="547"/>
      <c r="E85" s="547"/>
      <c r="F85" s="33">
        <v>20000</v>
      </c>
      <c r="I85" s="5"/>
      <c r="J85" s="5"/>
      <c r="K85" s="31"/>
    </row>
    <row r="86" spans="1:11" s="6" customFormat="1" ht="20.100000000000001" customHeight="1" x14ac:dyDescent="0.2">
      <c r="A86" s="32" t="s">
        <v>217</v>
      </c>
      <c r="B86" s="32"/>
      <c r="C86" s="32"/>
      <c r="D86" s="32"/>
      <c r="E86" s="32"/>
      <c r="I86" s="28">
        <v>0.15</v>
      </c>
      <c r="J86" s="28">
        <v>0.6</v>
      </c>
      <c r="K86" s="31"/>
    </row>
    <row r="87" spans="1:11" s="6" customFormat="1" ht="22.5" customHeight="1" x14ac:dyDescent="0.2">
      <c r="A87" s="39"/>
      <c r="B87" s="40"/>
      <c r="C87" s="40"/>
      <c r="D87" s="41"/>
      <c r="E87" s="108" t="s">
        <v>229</v>
      </c>
      <c r="F87" s="109" t="s">
        <v>218</v>
      </c>
      <c r="G87" s="34"/>
      <c r="I87" s="5" t="s">
        <v>262</v>
      </c>
      <c r="J87" s="5" t="s">
        <v>263</v>
      </c>
      <c r="K87" s="31"/>
    </row>
    <row r="88" spans="1:11" s="6" customFormat="1" ht="20.100000000000001" customHeight="1" x14ac:dyDescent="0.2">
      <c r="A88" s="42" t="s">
        <v>219</v>
      </c>
      <c r="B88" s="40"/>
      <c r="C88" s="41"/>
      <c r="D88" s="76">
        <v>42095</v>
      </c>
      <c r="E88" s="77">
        <v>1200000</v>
      </c>
      <c r="F88" s="78">
        <f>ROUND(E88*0.15,0)</f>
        <v>180000</v>
      </c>
      <c r="G88" s="34"/>
      <c r="H88" s="6" t="s">
        <v>264</v>
      </c>
      <c r="I88" s="31">
        <f>(E88+E89-E91)*I86</f>
        <v>205200</v>
      </c>
      <c r="J88" s="31">
        <f>(F88+F89-F91)*J86</f>
        <v>123120</v>
      </c>
      <c r="K88" s="31"/>
    </row>
    <row r="89" spans="1:11" s="6" customFormat="1" ht="20.100000000000001" customHeight="1" x14ac:dyDescent="0.2">
      <c r="A89" s="42" t="s">
        <v>220</v>
      </c>
      <c r="B89" s="40"/>
      <c r="C89" s="41"/>
      <c r="D89" s="79">
        <v>42125</v>
      </c>
      <c r="E89" s="52">
        <f>ROUND(E88*0.2,0)</f>
        <v>240000</v>
      </c>
      <c r="F89" s="52">
        <f>ROUND(F88*0.2,0)</f>
        <v>36000</v>
      </c>
      <c r="G89" s="34"/>
      <c r="H89" s="6" t="s">
        <v>265</v>
      </c>
      <c r="I89" s="31">
        <f>E90*I86/2</f>
        <v>10800</v>
      </c>
      <c r="J89" s="31">
        <f>F90*J86/2</f>
        <v>6480</v>
      </c>
      <c r="K89" s="31"/>
    </row>
    <row r="90" spans="1:11" s="6" customFormat="1" ht="20.100000000000001" customHeight="1" x14ac:dyDescent="0.2">
      <c r="A90" s="42" t="s">
        <v>220</v>
      </c>
      <c r="B90" s="40"/>
      <c r="C90" s="41"/>
      <c r="D90" s="76">
        <f>D89+175</f>
        <v>42300</v>
      </c>
      <c r="E90" s="52">
        <f>ROUND(E89*0.6,0)</f>
        <v>144000</v>
      </c>
      <c r="F90" s="52">
        <f>ROUND(F89*0.6,0)</f>
        <v>21600</v>
      </c>
      <c r="G90" s="34"/>
      <c r="H90" s="6" t="s">
        <v>266</v>
      </c>
      <c r="I90" s="31">
        <f>E90*0.2/2</f>
        <v>14400</v>
      </c>
      <c r="J90" s="31"/>
      <c r="K90" s="31"/>
    </row>
    <row r="91" spans="1:11" s="6" customFormat="1" ht="20.100000000000001" customHeight="1" thickBot="1" x14ac:dyDescent="0.3">
      <c r="A91" s="42" t="s">
        <v>221</v>
      </c>
      <c r="B91" s="40"/>
      <c r="C91" s="41"/>
      <c r="D91" s="76">
        <f>D89+30</f>
        <v>42155</v>
      </c>
      <c r="E91" s="52">
        <f>ROUND(E89*0.3,0)</f>
        <v>72000</v>
      </c>
      <c r="F91" s="52">
        <f>ROUND(F89*0.3,0)</f>
        <v>10800</v>
      </c>
      <c r="G91" s="34"/>
      <c r="I91" s="118">
        <f>SUM(I88:I90)</f>
        <v>230400</v>
      </c>
      <c r="J91" s="118">
        <f>SUM(J88:J90)</f>
        <v>129600</v>
      </c>
      <c r="K91" s="31"/>
    </row>
    <row r="92" spans="1:11" s="6" customFormat="1" ht="20.100000000000001" customHeight="1" thickTop="1" x14ac:dyDescent="0.2">
      <c r="A92" s="42" t="s">
        <v>222</v>
      </c>
      <c r="B92" s="40"/>
      <c r="C92" s="41"/>
      <c r="D92" s="76">
        <v>42460</v>
      </c>
      <c r="E92" s="51">
        <f>E88+E89+E90-E91</f>
        <v>1512000</v>
      </c>
      <c r="F92" s="51">
        <f>F88+F89+F90-F91</f>
        <v>226800</v>
      </c>
      <c r="G92" s="34"/>
      <c r="I92" s="31"/>
      <c r="J92" s="31"/>
      <c r="K92" s="31"/>
    </row>
    <row r="93" spans="1:11" s="6" customFormat="1" ht="33" customHeight="1" x14ac:dyDescent="0.2">
      <c r="A93" s="547" t="s">
        <v>223</v>
      </c>
      <c r="B93" s="547"/>
      <c r="C93" s="547"/>
      <c r="D93" s="547"/>
      <c r="E93" s="547"/>
      <c r="F93" s="547"/>
      <c r="I93" s="31"/>
      <c r="J93" s="31"/>
      <c r="K93" s="31"/>
    </row>
    <row r="94" spans="1:11" s="6" customFormat="1" ht="18.75" customHeight="1" x14ac:dyDescent="0.2">
      <c r="A94" s="128"/>
      <c r="B94" s="128"/>
      <c r="C94" s="128"/>
      <c r="D94" s="128"/>
      <c r="E94" s="128"/>
      <c r="F94" s="128"/>
      <c r="I94" s="31"/>
      <c r="J94" s="31"/>
      <c r="K94" s="31"/>
    </row>
    <row r="95" spans="1:11" s="6" customFormat="1" ht="18" customHeight="1" x14ac:dyDescent="0.2">
      <c r="A95" s="538" t="s">
        <v>230</v>
      </c>
      <c r="B95" s="538"/>
      <c r="C95" s="538"/>
      <c r="D95" s="538"/>
      <c r="E95" s="538"/>
      <c r="F95" s="538"/>
      <c r="I95" s="31"/>
      <c r="J95" s="31"/>
      <c r="K95" s="31"/>
    </row>
    <row r="96" spans="1:11" s="6" customFormat="1" ht="20.100000000000001" customHeight="1" x14ac:dyDescent="0.2">
      <c r="A96" s="42" t="s">
        <v>160</v>
      </c>
      <c r="B96" s="41"/>
      <c r="C96" s="51"/>
      <c r="D96" s="42" t="s">
        <v>164</v>
      </c>
      <c r="E96" s="41"/>
      <c r="F96" s="51">
        <f>+F57</f>
        <v>1224000</v>
      </c>
      <c r="I96" s="31"/>
      <c r="J96" s="31"/>
      <c r="K96" s="31"/>
    </row>
    <row r="97" spans="1:11" s="6" customFormat="1" ht="20.100000000000001" customHeight="1" x14ac:dyDescent="0.2">
      <c r="A97" s="89" t="str">
        <f>+D17</f>
        <v xml:space="preserve">Mohd Sajid </v>
      </c>
      <c r="B97" s="60"/>
      <c r="C97" s="53">
        <v>1200000</v>
      </c>
      <c r="D97" s="42" t="s">
        <v>166</v>
      </c>
      <c r="E97" s="41"/>
      <c r="F97" s="51">
        <f>ROUND((C97+C98+C99)*1.75,0)</f>
        <v>5250000</v>
      </c>
      <c r="G97" s="34"/>
      <c r="I97" s="31"/>
      <c r="J97" s="31"/>
      <c r="K97" s="31"/>
    </row>
    <row r="98" spans="1:11" s="6" customFormat="1" ht="20.100000000000001" customHeight="1" x14ac:dyDescent="0.2">
      <c r="A98" s="89" t="str">
        <f>+E17</f>
        <v>Gurmeet Singh</v>
      </c>
      <c r="B98" s="60"/>
      <c r="C98" s="80">
        <f>C97/D19*E19</f>
        <v>900000</v>
      </c>
      <c r="D98" s="42" t="s">
        <v>168</v>
      </c>
      <c r="E98" s="41"/>
      <c r="F98" s="51">
        <f>E92+F92</f>
        <v>1738800</v>
      </c>
      <c r="G98" s="34"/>
      <c r="I98" s="31"/>
      <c r="J98" s="31"/>
      <c r="K98" s="31"/>
    </row>
    <row r="99" spans="1:11" s="6" customFormat="1" ht="20.100000000000001" customHeight="1" x14ac:dyDescent="0.2">
      <c r="A99" s="89" t="str">
        <f>+F17</f>
        <v>Varun Panwar</v>
      </c>
      <c r="B99" s="60"/>
      <c r="C99" s="80">
        <f>C97/D19*F19</f>
        <v>900000</v>
      </c>
      <c r="D99" s="42" t="s">
        <v>170</v>
      </c>
      <c r="E99" s="41"/>
      <c r="F99" s="51">
        <f>C97+C98</f>
        <v>2100000</v>
      </c>
      <c r="G99" s="34"/>
      <c r="I99" s="31"/>
      <c r="J99" s="31"/>
      <c r="K99" s="31"/>
    </row>
    <row r="100" spans="1:11" s="6" customFormat="1" ht="20.100000000000001" customHeight="1" x14ac:dyDescent="0.2">
      <c r="A100" s="42" t="s">
        <v>176</v>
      </c>
      <c r="B100" s="41"/>
      <c r="C100" s="51">
        <f>C102-C97-C98-C99</f>
        <v>14299225</v>
      </c>
      <c r="D100" s="42" t="s">
        <v>172</v>
      </c>
      <c r="E100" s="41"/>
      <c r="F100" s="51">
        <f>F97+F96+25000</f>
        <v>6499000</v>
      </c>
      <c r="G100" s="5"/>
      <c r="I100" s="31"/>
      <c r="J100" s="31"/>
      <c r="K100" s="31"/>
    </row>
    <row r="101" spans="1:11" s="6" customFormat="1" ht="20.100000000000001" customHeight="1" x14ac:dyDescent="0.2">
      <c r="A101" s="62"/>
      <c r="B101" s="63"/>
      <c r="C101" s="51"/>
      <c r="D101" s="42" t="s">
        <v>174</v>
      </c>
      <c r="E101" s="41"/>
      <c r="F101" s="51">
        <f>ROUND(F100*0.075,0)</f>
        <v>487425</v>
      </c>
      <c r="I101" s="31"/>
      <c r="J101" s="31"/>
      <c r="K101" s="31"/>
    </row>
    <row r="102" spans="1:11" s="6" customFormat="1" ht="20.100000000000001" customHeight="1" thickBot="1" x14ac:dyDescent="0.3">
      <c r="A102" s="88"/>
      <c r="B102" s="57"/>
      <c r="C102" s="81">
        <f>+F102</f>
        <v>17299225</v>
      </c>
      <c r="D102" s="82"/>
      <c r="E102" s="83"/>
      <c r="F102" s="81">
        <f>SUM(F96:F101)</f>
        <v>17299225</v>
      </c>
      <c r="G102" s="5"/>
      <c r="I102" s="31"/>
      <c r="J102" s="31"/>
      <c r="K102" s="31"/>
    </row>
    <row r="103" spans="1:11" s="6" customFormat="1" ht="20.100000000000001" customHeight="1" thickTop="1" x14ac:dyDescent="0.2">
      <c r="I103" s="31"/>
      <c r="J103" s="31"/>
      <c r="K103" s="31"/>
    </row>
    <row r="104" spans="1:11" s="6" customFormat="1" ht="20.100000000000001" customHeight="1" x14ac:dyDescent="0.2">
      <c r="A104" s="32" t="s">
        <v>299</v>
      </c>
      <c r="I104" s="31"/>
      <c r="J104" s="31"/>
      <c r="K104" s="31"/>
    </row>
    <row r="105" spans="1:11" s="6" customFormat="1" ht="20.100000000000001" customHeight="1" x14ac:dyDescent="0.2">
      <c r="A105" s="32" t="s">
        <v>300</v>
      </c>
      <c r="I105" s="31"/>
      <c r="J105" s="31"/>
      <c r="K105" s="31"/>
    </row>
    <row r="106" spans="1:11" s="6" customFormat="1" ht="20.100000000000001" customHeight="1" x14ac:dyDescent="0.2">
      <c r="I106" s="31"/>
      <c r="J106" s="31"/>
      <c r="K106" s="31"/>
    </row>
    <row r="107" spans="1:11" s="6" customFormat="1" ht="20.100000000000001" customHeight="1" x14ac:dyDescent="0.2">
      <c r="I107" s="31"/>
      <c r="J107" s="31"/>
      <c r="K107" s="31"/>
    </row>
    <row r="108" spans="1:11" s="6" customFormat="1" ht="20.100000000000001" customHeight="1" x14ac:dyDescent="0.2">
      <c r="I108" s="31"/>
      <c r="J108" s="31"/>
      <c r="K108" s="31"/>
    </row>
    <row r="109" spans="1:11" s="6" customFormat="1" ht="20.100000000000001" customHeight="1" x14ac:dyDescent="0.2">
      <c r="I109" s="31"/>
      <c r="J109" s="31"/>
      <c r="K109" s="31"/>
    </row>
    <row r="110" spans="1:11" s="6" customFormat="1" ht="20.100000000000001" customHeight="1" x14ac:dyDescent="0.2">
      <c r="I110" s="31"/>
      <c r="J110" s="31"/>
      <c r="K110" s="31"/>
    </row>
    <row r="111" spans="1:11" s="6" customFormat="1" ht="20.100000000000001" customHeight="1" x14ac:dyDescent="0.2">
      <c r="I111" s="31"/>
      <c r="J111" s="31"/>
      <c r="K111" s="31"/>
    </row>
    <row r="112" spans="1:11" s="6" customFormat="1" ht="20.100000000000001" customHeight="1" x14ac:dyDescent="0.2">
      <c r="I112" s="31"/>
      <c r="J112" s="31"/>
      <c r="K112" s="31"/>
    </row>
    <row r="113" spans="1:11" s="6" customFormat="1" ht="20.100000000000001" customHeight="1" x14ac:dyDescent="0.2">
      <c r="I113" s="31"/>
      <c r="J113" s="31"/>
      <c r="K113" s="31"/>
    </row>
    <row r="114" spans="1:11" s="6" customFormat="1" ht="20.100000000000001" customHeight="1" x14ac:dyDescent="0.2">
      <c r="I114" s="31"/>
      <c r="J114" s="31"/>
      <c r="K114" s="31"/>
    </row>
    <row r="115" spans="1:11" s="6" customFormat="1" ht="20.100000000000001" customHeight="1" x14ac:dyDescent="0.2">
      <c r="I115" s="31"/>
      <c r="J115" s="31"/>
      <c r="K115" s="31"/>
    </row>
    <row r="116" spans="1:11" s="6" customFormat="1" ht="20.100000000000001" customHeight="1" x14ac:dyDescent="0.2">
      <c r="A116" s="32" t="s">
        <v>301</v>
      </c>
      <c r="I116" s="31"/>
      <c r="J116" s="31"/>
      <c r="K116" s="31"/>
    </row>
    <row r="117" spans="1:11" s="6" customFormat="1" ht="20.100000000000001" customHeight="1" x14ac:dyDescent="0.2">
      <c r="I117" s="31"/>
      <c r="J117" s="31"/>
      <c r="K117" s="31"/>
    </row>
    <row r="118" spans="1:11" s="6" customFormat="1" ht="20.100000000000001" customHeight="1" x14ac:dyDescent="0.2">
      <c r="I118" s="31"/>
      <c r="J118" s="31"/>
      <c r="K118" s="31"/>
    </row>
    <row r="119" spans="1:11" s="6" customFormat="1" ht="20.100000000000001" customHeight="1" x14ac:dyDescent="0.2">
      <c r="I119" s="31"/>
      <c r="J119" s="31"/>
      <c r="K119" s="31"/>
    </row>
    <row r="120" spans="1:11" s="6" customFormat="1" ht="20.100000000000001" customHeight="1" x14ac:dyDescent="0.2">
      <c r="I120" s="31"/>
      <c r="J120" s="31"/>
      <c r="K120" s="31"/>
    </row>
    <row r="121" spans="1:11" s="6" customFormat="1" ht="20.100000000000001" customHeight="1" x14ac:dyDescent="0.2">
      <c r="I121" s="31"/>
      <c r="J121" s="31"/>
      <c r="K121" s="31"/>
    </row>
    <row r="122" spans="1:11" s="6" customFormat="1" ht="20.100000000000001" customHeight="1" x14ac:dyDescent="0.2">
      <c r="I122" s="31"/>
      <c r="J122" s="31"/>
      <c r="K122" s="31"/>
    </row>
    <row r="123" spans="1:11" s="6" customFormat="1" ht="20.100000000000001" customHeight="1" x14ac:dyDescent="0.2">
      <c r="I123" s="31"/>
      <c r="J123" s="31"/>
      <c r="K123" s="31"/>
    </row>
    <row r="124" spans="1:11" s="6" customFormat="1" ht="20.100000000000001" customHeight="1" x14ac:dyDescent="0.2">
      <c r="I124" s="31"/>
      <c r="J124" s="31"/>
      <c r="K124" s="31"/>
    </row>
    <row r="125" spans="1:11" s="6" customFormat="1" ht="20.100000000000001" customHeight="1" x14ac:dyDescent="0.2">
      <c r="I125" s="31"/>
      <c r="J125" s="31"/>
      <c r="K125" s="31"/>
    </row>
    <row r="126" spans="1:11" s="6" customFormat="1" ht="20.100000000000001" customHeight="1" x14ac:dyDescent="0.2">
      <c r="I126" s="31"/>
      <c r="J126" s="31"/>
      <c r="K126" s="31"/>
    </row>
    <row r="127" spans="1:11" s="6" customFormat="1" ht="20.100000000000001" customHeight="1" x14ac:dyDescent="0.2">
      <c r="I127" s="31"/>
      <c r="J127" s="31"/>
      <c r="K127" s="31"/>
    </row>
    <row r="128" spans="1:11" s="6" customFormat="1" ht="20.100000000000001" customHeight="1" x14ac:dyDescent="0.2">
      <c r="I128" s="31"/>
      <c r="J128" s="31"/>
      <c r="K128" s="31"/>
    </row>
    <row r="129" spans="9:11" s="6" customFormat="1" ht="20.100000000000001" customHeight="1" x14ac:dyDescent="0.2">
      <c r="I129" s="31"/>
      <c r="J129" s="31"/>
      <c r="K129" s="31"/>
    </row>
    <row r="130" spans="9:11" s="6" customFormat="1" ht="20.100000000000001" customHeight="1" x14ac:dyDescent="0.2">
      <c r="I130" s="31"/>
      <c r="J130" s="31"/>
      <c r="K130" s="31"/>
    </row>
    <row r="131" spans="9:11" s="6" customFormat="1" ht="20.100000000000001" customHeight="1" x14ac:dyDescent="0.2">
      <c r="I131" s="31"/>
      <c r="J131" s="31"/>
      <c r="K131" s="31"/>
    </row>
    <row r="132" spans="9:11" s="6" customFormat="1" ht="20.100000000000001" customHeight="1" x14ac:dyDescent="0.2">
      <c r="I132" s="31"/>
      <c r="J132" s="31"/>
      <c r="K132" s="31"/>
    </row>
    <row r="133" spans="9:11" s="6" customFormat="1" ht="20.100000000000001" customHeight="1" x14ac:dyDescent="0.2">
      <c r="I133" s="31"/>
      <c r="J133" s="31"/>
      <c r="K133" s="31"/>
    </row>
    <row r="134" spans="9:11" s="6" customFormat="1" ht="20.100000000000001" customHeight="1" x14ac:dyDescent="0.2">
      <c r="I134" s="31"/>
      <c r="J134" s="31"/>
      <c r="K134" s="31"/>
    </row>
    <row r="135" spans="9:11" s="6" customFormat="1" ht="20.100000000000001" customHeight="1" x14ac:dyDescent="0.2">
      <c r="I135" s="31"/>
      <c r="J135" s="31"/>
      <c r="K135" s="31"/>
    </row>
    <row r="136" spans="9:11" s="6" customFormat="1" ht="20.100000000000001" customHeight="1" x14ac:dyDescent="0.2">
      <c r="I136" s="31"/>
      <c r="J136" s="31"/>
      <c r="K136" s="31"/>
    </row>
    <row r="137" spans="9:11" s="6" customFormat="1" ht="20.100000000000001" customHeight="1" x14ac:dyDescent="0.2">
      <c r="I137" s="31"/>
      <c r="J137" s="31"/>
      <c r="K137" s="31"/>
    </row>
    <row r="138" spans="9:11" s="6" customFormat="1" ht="20.100000000000001" customHeight="1" x14ac:dyDescent="0.2">
      <c r="I138" s="31"/>
      <c r="J138" s="31"/>
      <c r="K138" s="31"/>
    </row>
    <row r="139" spans="9:11" s="6" customFormat="1" ht="20.100000000000001" customHeight="1" x14ac:dyDescent="0.2">
      <c r="I139" s="31"/>
      <c r="J139" s="31"/>
      <c r="K139" s="31"/>
    </row>
    <row r="140" spans="9:11" s="6" customFormat="1" ht="20.100000000000001" customHeight="1" x14ac:dyDescent="0.2">
      <c r="I140" s="31"/>
      <c r="J140" s="31"/>
      <c r="K140" s="31"/>
    </row>
    <row r="141" spans="9:11" s="6" customFormat="1" ht="20.100000000000001" customHeight="1" x14ac:dyDescent="0.2">
      <c r="I141" s="31"/>
      <c r="J141" s="31"/>
      <c r="K141" s="31"/>
    </row>
    <row r="142" spans="9:11" s="6" customFormat="1" ht="20.100000000000001" customHeight="1" x14ac:dyDescent="0.2">
      <c r="I142" s="31"/>
      <c r="J142" s="31"/>
      <c r="K142" s="31"/>
    </row>
    <row r="143" spans="9:11" s="6" customFormat="1" ht="20.100000000000001" customHeight="1" x14ac:dyDescent="0.2">
      <c r="I143" s="31"/>
      <c r="J143" s="31"/>
      <c r="K143" s="31"/>
    </row>
    <row r="144" spans="9:11" s="6" customFormat="1" ht="20.100000000000001" customHeight="1" x14ac:dyDescent="0.2">
      <c r="I144" s="31"/>
      <c r="J144" s="31"/>
      <c r="K144" s="31"/>
    </row>
  </sheetData>
  <mergeCells count="25">
    <mergeCell ref="A2:F2"/>
    <mergeCell ref="D5:F5"/>
    <mergeCell ref="D14:F14"/>
    <mergeCell ref="H20:I20"/>
    <mergeCell ref="C25:D25"/>
    <mergeCell ref="E25:F25"/>
    <mergeCell ref="A34:F34"/>
    <mergeCell ref="A26:B26"/>
    <mergeCell ref="C26:D26"/>
    <mergeCell ref="E26:F26"/>
    <mergeCell ref="A27:B27"/>
    <mergeCell ref="C27:D27"/>
    <mergeCell ref="E27:F27"/>
    <mergeCell ref="A28:B28"/>
    <mergeCell ref="C28:D28"/>
    <mergeCell ref="E28:F28"/>
    <mergeCell ref="C29:D29"/>
    <mergeCell ref="E29:F29"/>
    <mergeCell ref="A95:F95"/>
    <mergeCell ref="A46:E46"/>
    <mergeCell ref="A52:F52"/>
    <mergeCell ref="A53:F53"/>
    <mergeCell ref="A76:B76"/>
    <mergeCell ref="A85:E85"/>
    <mergeCell ref="A93:F93"/>
  </mergeCells>
  <printOptions horizontalCentered="1"/>
  <pageMargins left="0.19685039370078741" right="0.19685039370078741" top="0.19685039370078741" bottom="0.19685039370078741" header="0" footer="0"/>
  <pageSetup paperSize="9" orientation="portrait" r:id="rId1"/>
  <rowBreaks count="1" manualBreakCount="1">
    <brk id="38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4"/>
  <sheetViews>
    <sheetView topLeftCell="A16" zoomScaleNormal="100" workbookViewId="0">
      <selection activeCell="F24" sqref="F24"/>
    </sheetView>
  </sheetViews>
  <sheetFormatPr defaultColWidth="15.7109375" defaultRowHeight="20.100000000000001" customHeight="1" x14ac:dyDescent="0.2"/>
  <cols>
    <col min="1" max="2" width="15.7109375" style="1" customWidth="1"/>
    <col min="3" max="6" width="15.7109375" style="1"/>
    <col min="7" max="7" width="6.28515625" style="1" customWidth="1"/>
    <col min="8" max="8" width="20.28515625" style="1" customWidth="1"/>
    <col min="9" max="11" width="15.7109375" style="111"/>
    <col min="12" max="16384" width="15.7109375" style="1"/>
  </cols>
  <sheetData>
    <row r="1" spans="1:11" ht="20.100000000000001" customHeight="1" x14ac:dyDescent="0.2">
      <c r="A1" s="130" t="s">
        <v>340</v>
      </c>
      <c r="B1" s="130"/>
      <c r="C1" s="130"/>
      <c r="D1" s="130"/>
      <c r="E1" s="130"/>
    </row>
    <row r="2" spans="1:11" ht="20.100000000000001" customHeight="1" x14ac:dyDescent="0.25">
      <c r="A2" s="553" t="s">
        <v>319</v>
      </c>
      <c r="B2" s="553"/>
      <c r="C2" s="553"/>
      <c r="D2" s="553"/>
      <c r="E2" s="553"/>
      <c r="F2" s="553"/>
    </row>
    <row r="3" spans="1:11" s="6" customFormat="1" ht="18.95" customHeight="1" x14ac:dyDescent="0.25">
      <c r="A3" s="90" t="s">
        <v>1</v>
      </c>
      <c r="B3" s="58"/>
      <c r="C3" s="59"/>
      <c r="D3" s="90" t="s">
        <v>320</v>
      </c>
      <c r="E3" s="91"/>
      <c r="F3" s="92"/>
      <c r="G3" s="113" t="s">
        <v>239</v>
      </c>
      <c r="I3" s="31"/>
      <c r="J3" s="31"/>
      <c r="K3" s="31"/>
    </row>
    <row r="4" spans="1:11" s="6" customFormat="1" ht="18.95" customHeight="1" x14ac:dyDescent="0.2">
      <c r="A4" s="96" t="s">
        <v>2</v>
      </c>
      <c r="B4" s="60"/>
      <c r="C4" s="61"/>
      <c r="D4" s="93">
        <v>31022</v>
      </c>
      <c r="E4" s="94"/>
      <c r="F4" s="95"/>
      <c r="G4" s="2"/>
      <c r="H4" s="6" t="s">
        <v>240</v>
      </c>
      <c r="I4" s="5" t="s">
        <v>242</v>
      </c>
      <c r="J4" s="31">
        <f>+F35</f>
        <v>1400000</v>
      </c>
      <c r="K4" s="31"/>
    </row>
    <row r="5" spans="1:11" s="6" customFormat="1" ht="18.95" customHeight="1" x14ac:dyDescent="0.2">
      <c r="A5" s="106" t="s">
        <v>3</v>
      </c>
      <c r="B5" s="60"/>
      <c r="C5" s="61"/>
      <c r="D5" s="554" t="s">
        <v>293</v>
      </c>
      <c r="E5" s="555"/>
      <c r="F5" s="556"/>
      <c r="H5" s="6" t="s">
        <v>246</v>
      </c>
      <c r="I5" s="31"/>
      <c r="J5" s="110">
        <f>+F36</f>
        <v>84000</v>
      </c>
      <c r="K5" s="31"/>
    </row>
    <row r="6" spans="1:11" s="6" customFormat="1" ht="18.95" customHeight="1" x14ac:dyDescent="0.2">
      <c r="A6" s="96" t="s">
        <v>4</v>
      </c>
      <c r="B6" s="60"/>
      <c r="C6" s="61"/>
      <c r="D6" s="96" t="s">
        <v>321</v>
      </c>
      <c r="E6" s="97"/>
      <c r="F6" s="98"/>
      <c r="I6" s="5" t="s">
        <v>241</v>
      </c>
      <c r="J6" s="31">
        <f>J4-J5</f>
        <v>1316000</v>
      </c>
      <c r="K6" s="31"/>
    </row>
    <row r="7" spans="1:11" s="6" customFormat="1" ht="18.95" customHeight="1" x14ac:dyDescent="0.2">
      <c r="A7" s="96" t="s">
        <v>5</v>
      </c>
      <c r="B7" s="60"/>
      <c r="C7" s="61"/>
      <c r="D7" s="96">
        <v>9811116835</v>
      </c>
      <c r="E7" s="97"/>
      <c r="F7" s="98"/>
      <c r="G7" s="3"/>
      <c r="H7" s="6" t="s">
        <v>244</v>
      </c>
      <c r="I7" s="24">
        <f>ROUND(J6*0.3,0)</f>
        <v>394800</v>
      </c>
      <c r="J7" s="31"/>
      <c r="K7" s="31"/>
    </row>
    <row r="8" spans="1:11" s="6" customFormat="1" ht="18.95" customHeight="1" x14ac:dyDescent="0.25">
      <c r="A8" s="96" t="s">
        <v>6</v>
      </c>
      <c r="B8" s="60"/>
      <c r="C8" s="61"/>
      <c r="D8" s="96" t="s">
        <v>183</v>
      </c>
      <c r="E8" s="97"/>
      <c r="F8" s="98"/>
      <c r="H8" s="6" t="s">
        <v>243</v>
      </c>
      <c r="I8" s="26">
        <f>+F37</f>
        <v>420000</v>
      </c>
      <c r="J8" s="110">
        <f>I7+I8</f>
        <v>814800</v>
      </c>
      <c r="K8" s="112">
        <f>J6-J8</f>
        <v>501200</v>
      </c>
    </row>
    <row r="9" spans="1:11" s="6" customFormat="1" ht="18.95" customHeight="1" x14ac:dyDescent="0.25">
      <c r="A9" s="96" t="s">
        <v>10</v>
      </c>
      <c r="B9" s="60"/>
      <c r="C9" s="61"/>
      <c r="D9" s="96" t="s">
        <v>11</v>
      </c>
      <c r="E9" s="97"/>
      <c r="F9" s="98"/>
      <c r="G9" s="113" t="s">
        <v>245</v>
      </c>
      <c r="J9" s="31"/>
      <c r="K9" s="31"/>
    </row>
    <row r="10" spans="1:11" s="6" customFormat="1" ht="18.95" customHeight="1" x14ac:dyDescent="0.25">
      <c r="A10" s="96" t="s">
        <v>12</v>
      </c>
      <c r="B10" s="60"/>
      <c r="C10" s="61"/>
      <c r="D10" s="99" t="s">
        <v>184</v>
      </c>
      <c r="E10" s="100"/>
      <c r="F10" s="101"/>
      <c r="G10" s="119">
        <v>1081</v>
      </c>
      <c r="H10" s="6" t="s">
        <v>247</v>
      </c>
      <c r="I10" s="116">
        <f>+D40</f>
        <v>42327</v>
      </c>
      <c r="J10" s="31">
        <f>+F41</f>
        <v>6180000</v>
      </c>
      <c r="K10" s="31"/>
    </row>
    <row r="11" spans="1:11" s="6" customFormat="1" ht="18.95" customHeight="1" x14ac:dyDescent="0.2">
      <c r="A11" s="96" t="s">
        <v>14</v>
      </c>
      <c r="B11" s="60"/>
      <c r="C11" s="61"/>
      <c r="D11" s="96" t="s">
        <v>177</v>
      </c>
      <c r="E11" s="97"/>
      <c r="F11" s="98"/>
      <c r="G11" s="23"/>
      <c r="H11" s="6" t="s">
        <v>251</v>
      </c>
      <c r="J11" s="31">
        <f>(+F42)*-1</f>
        <v>-60000</v>
      </c>
      <c r="K11" s="31"/>
    </row>
    <row r="12" spans="1:11" s="6" customFormat="1" ht="18.95" customHeight="1" x14ac:dyDescent="0.2">
      <c r="A12" s="96" t="s">
        <v>292</v>
      </c>
      <c r="B12" s="60"/>
      <c r="C12" s="61"/>
      <c r="D12" s="96" t="s">
        <v>231</v>
      </c>
      <c r="E12" s="97"/>
      <c r="F12" s="98"/>
      <c r="G12" s="23">
        <v>133</v>
      </c>
      <c r="H12" s="6" t="s">
        <v>252</v>
      </c>
      <c r="I12" s="116">
        <f>+D43</f>
        <v>31327</v>
      </c>
      <c r="J12" s="110">
        <f>ROUND((F43*G10/G12)*-1,0)</f>
        <v>-1219173</v>
      </c>
      <c r="K12" s="31"/>
    </row>
    <row r="13" spans="1:11" s="6" customFormat="1" ht="18.95" customHeight="1" x14ac:dyDescent="0.2">
      <c r="A13" s="126" t="s">
        <v>290</v>
      </c>
      <c r="B13" s="60"/>
      <c r="C13" s="61"/>
      <c r="D13" s="96" t="s">
        <v>19</v>
      </c>
      <c r="E13" s="97"/>
      <c r="F13" s="98"/>
      <c r="G13" s="117"/>
      <c r="I13" s="31"/>
      <c r="J13" s="31">
        <f>SUM(J10:J12)</f>
        <v>4900827</v>
      </c>
      <c r="K13" s="31"/>
    </row>
    <row r="14" spans="1:11" s="6" customFormat="1" ht="30" customHeight="1" x14ac:dyDescent="0.25">
      <c r="A14" s="134" t="s">
        <v>337</v>
      </c>
      <c r="B14" s="60"/>
      <c r="C14" s="61"/>
      <c r="D14" s="539" t="s">
        <v>346</v>
      </c>
      <c r="E14" s="540"/>
      <c r="F14" s="548"/>
      <c r="G14" s="117"/>
      <c r="H14" s="6" t="s">
        <v>253</v>
      </c>
      <c r="I14" s="31"/>
      <c r="J14" s="110">
        <f>+F44</f>
        <v>3600000</v>
      </c>
      <c r="K14" s="112">
        <f>J13-J14</f>
        <v>1300827</v>
      </c>
    </row>
    <row r="15" spans="1:11" s="6" customFormat="1" ht="18.95" customHeight="1" x14ac:dyDescent="0.25">
      <c r="A15" s="102" t="s">
        <v>22</v>
      </c>
      <c r="B15" s="63"/>
      <c r="C15" s="64"/>
      <c r="D15" s="102" t="s">
        <v>185</v>
      </c>
      <c r="E15" s="103"/>
      <c r="F15" s="104"/>
      <c r="G15" s="113" t="s">
        <v>254</v>
      </c>
      <c r="I15" s="31"/>
      <c r="J15" s="31"/>
      <c r="K15" s="31"/>
    </row>
    <row r="16" spans="1:11" s="6" customFormat="1" ht="20.100000000000001" customHeight="1" x14ac:dyDescent="0.2">
      <c r="A16" s="32" t="s">
        <v>234</v>
      </c>
      <c r="H16" s="6" t="s">
        <v>336</v>
      </c>
      <c r="I16" s="31"/>
      <c r="J16" s="31"/>
      <c r="K16" s="31"/>
    </row>
    <row r="17" spans="1:11" s="6" customFormat="1" ht="20.100000000000001" customHeight="1" x14ac:dyDescent="0.25">
      <c r="A17" s="43" t="s">
        <v>25</v>
      </c>
      <c r="B17" s="40"/>
      <c r="C17" s="41"/>
      <c r="D17" s="129" t="s">
        <v>178</v>
      </c>
      <c r="E17" s="129" t="s">
        <v>334</v>
      </c>
      <c r="F17" s="129" t="s">
        <v>322</v>
      </c>
      <c r="H17" s="6" t="s">
        <v>255</v>
      </c>
      <c r="I17" s="31"/>
      <c r="J17" s="31"/>
      <c r="K17" s="112">
        <f>+F47</f>
        <v>15000</v>
      </c>
    </row>
    <row r="18" spans="1:11" s="6" customFormat="1" ht="20.100000000000001" customHeight="1" x14ac:dyDescent="0.25">
      <c r="A18" s="43" t="s">
        <v>29</v>
      </c>
      <c r="B18" s="40"/>
      <c r="C18" s="41"/>
      <c r="D18" s="35">
        <f>+D4</f>
        <v>31022</v>
      </c>
      <c r="E18" s="35">
        <f>+D18</f>
        <v>31022</v>
      </c>
      <c r="F18" s="35">
        <f>+D18</f>
        <v>31022</v>
      </c>
      <c r="G18" s="113" t="s">
        <v>257</v>
      </c>
      <c r="I18" s="31"/>
      <c r="J18" s="31"/>
      <c r="K18" s="31"/>
    </row>
    <row r="19" spans="1:11" s="6" customFormat="1" ht="20.100000000000001" customHeight="1" x14ac:dyDescent="0.2">
      <c r="A19" s="43" t="s">
        <v>31</v>
      </c>
      <c r="B19" s="40"/>
      <c r="C19" s="41"/>
      <c r="D19" s="36">
        <v>0.5</v>
      </c>
      <c r="E19" s="37">
        <f>(1-D19)/2</f>
        <v>0.25</v>
      </c>
      <c r="F19" s="37">
        <f>+E19</f>
        <v>0.25</v>
      </c>
      <c r="G19" s="4"/>
      <c r="H19" s="6" t="s">
        <v>278</v>
      </c>
      <c r="I19" s="31"/>
      <c r="J19" s="31">
        <f>+I31</f>
        <v>2750062</v>
      </c>
      <c r="K19" s="31"/>
    </row>
    <row r="20" spans="1:11" s="6" customFormat="1" ht="55.5" customHeight="1" x14ac:dyDescent="0.25">
      <c r="A20" s="107" t="s">
        <v>235</v>
      </c>
      <c r="B20" s="40"/>
      <c r="C20" s="41"/>
      <c r="D20" s="38" t="s">
        <v>325</v>
      </c>
      <c r="E20" s="38" t="s">
        <v>323</v>
      </c>
      <c r="F20" s="38" t="s">
        <v>324</v>
      </c>
      <c r="H20" s="557" t="s">
        <v>279</v>
      </c>
      <c r="I20" s="557"/>
      <c r="J20" s="110">
        <f>+I35</f>
        <v>1740037.2</v>
      </c>
      <c r="K20" s="112">
        <f>J19-J20</f>
        <v>1010024.8</v>
      </c>
    </row>
    <row r="21" spans="1:11" s="6" customFormat="1" ht="20.100000000000001" customHeight="1" x14ac:dyDescent="0.2">
      <c r="A21" s="43" t="s">
        <v>4</v>
      </c>
      <c r="B21" s="40"/>
      <c r="C21" s="41"/>
      <c r="D21" s="129" t="s">
        <v>348</v>
      </c>
      <c r="E21" s="129" t="s">
        <v>349</v>
      </c>
      <c r="F21" s="129" t="s">
        <v>350</v>
      </c>
      <c r="H21" s="6" t="s">
        <v>272</v>
      </c>
      <c r="I21" s="31">
        <f>+C78</f>
        <v>354702</v>
      </c>
      <c r="J21" s="31"/>
      <c r="K21" s="31"/>
    </row>
    <row r="22" spans="1:11" s="6" customFormat="1" ht="20.100000000000001" customHeight="1" x14ac:dyDescent="0.2">
      <c r="A22" s="96" t="s">
        <v>39</v>
      </c>
      <c r="B22" s="60"/>
      <c r="C22" s="60"/>
      <c r="D22" s="60" t="str">
        <f>+D17</f>
        <v xml:space="preserve">Mohd Sajid </v>
      </c>
      <c r="E22" s="60"/>
      <c r="F22" s="61"/>
      <c r="H22" s="6" t="s">
        <v>224</v>
      </c>
      <c r="I22" s="31">
        <f>+F81+F84</f>
        <v>127500</v>
      </c>
      <c r="J22" s="31"/>
      <c r="K22" s="31"/>
    </row>
    <row r="23" spans="1:11" s="6" customFormat="1" ht="20.100000000000001" customHeight="1" x14ac:dyDescent="0.2">
      <c r="A23" s="102" t="s">
        <v>237</v>
      </c>
      <c r="B23" s="63"/>
      <c r="C23" s="63"/>
      <c r="D23" s="63" t="s">
        <v>236</v>
      </c>
      <c r="E23" s="63"/>
      <c r="F23" s="64"/>
      <c r="G23" s="23" t="s">
        <v>226</v>
      </c>
      <c r="H23" s="6" t="s">
        <v>225</v>
      </c>
      <c r="I23" s="31">
        <f>F82*-1</f>
        <v>-15000</v>
      </c>
      <c r="K23" s="31"/>
    </row>
    <row r="24" spans="1:11" s="6" customFormat="1" ht="20.100000000000001" customHeight="1" x14ac:dyDescent="0.2">
      <c r="A24" s="32" t="s">
        <v>197</v>
      </c>
      <c r="D24" s="34"/>
      <c r="E24" s="34" t="s">
        <v>238</v>
      </c>
      <c r="G24" s="6" t="s">
        <v>269</v>
      </c>
      <c r="H24" s="6" t="s">
        <v>258</v>
      </c>
      <c r="I24" s="31">
        <f>F85*-1</f>
        <v>-30000</v>
      </c>
      <c r="J24" s="31"/>
      <c r="K24" s="31"/>
    </row>
    <row r="25" spans="1:11" s="6" customFormat="1" ht="20.100000000000001" customHeight="1" x14ac:dyDescent="0.2">
      <c r="A25" s="127" t="s">
        <v>43</v>
      </c>
      <c r="B25" s="45"/>
      <c r="C25" s="558" t="s">
        <v>326</v>
      </c>
      <c r="D25" s="558"/>
      <c r="E25" s="558" t="s">
        <v>227</v>
      </c>
      <c r="F25" s="558"/>
      <c r="G25" s="34"/>
      <c r="H25" s="6" t="s">
        <v>259</v>
      </c>
      <c r="I25" s="31">
        <f>+C74</f>
        <v>328860</v>
      </c>
      <c r="J25" s="31"/>
      <c r="K25" s="31"/>
    </row>
    <row r="26" spans="1:11" s="6" customFormat="1" ht="20.100000000000001" customHeight="1" x14ac:dyDescent="0.2">
      <c r="A26" s="549" t="s">
        <v>47</v>
      </c>
      <c r="B26" s="550"/>
      <c r="C26" s="551">
        <v>91000044368</v>
      </c>
      <c r="D26" s="551"/>
      <c r="E26" s="551">
        <v>3126845648</v>
      </c>
      <c r="F26" s="551"/>
      <c r="G26" s="34"/>
      <c r="H26" s="6" t="s">
        <v>260</v>
      </c>
      <c r="I26" s="31">
        <f>(+I91+J91)*-1</f>
        <v>-360000</v>
      </c>
      <c r="J26" s="31"/>
      <c r="K26" s="31"/>
    </row>
    <row r="27" spans="1:11" s="6" customFormat="1" ht="20.100000000000001" customHeight="1" x14ac:dyDescent="0.2">
      <c r="A27" s="549" t="s">
        <v>48</v>
      </c>
      <c r="B27" s="550"/>
      <c r="C27" s="551" t="s">
        <v>327</v>
      </c>
      <c r="D27" s="551"/>
      <c r="E27" s="551" t="s">
        <v>212</v>
      </c>
      <c r="F27" s="551"/>
      <c r="G27" s="34" t="s">
        <v>271</v>
      </c>
      <c r="H27" s="6" t="s">
        <v>267</v>
      </c>
      <c r="I27" s="121">
        <f>+F48</f>
        <v>120000</v>
      </c>
      <c r="J27" s="31"/>
      <c r="K27" s="31"/>
    </row>
    <row r="28" spans="1:11" s="6" customFormat="1" ht="20.100000000000001" customHeight="1" x14ac:dyDescent="0.2">
      <c r="A28" s="549" t="s">
        <v>51</v>
      </c>
      <c r="B28" s="550"/>
      <c r="C28" s="551" t="s">
        <v>52</v>
      </c>
      <c r="D28" s="551"/>
      <c r="E28" s="551" t="s">
        <v>52</v>
      </c>
      <c r="F28" s="551"/>
      <c r="G28" s="34" t="s">
        <v>270</v>
      </c>
      <c r="H28" s="6" t="s">
        <v>261</v>
      </c>
      <c r="I28" s="110">
        <f>C75-(C97+C98+C99)*0.12</f>
        <v>64000.000000000058</v>
      </c>
      <c r="J28" s="31"/>
      <c r="K28" s="31"/>
    </row>
    <row r="29" spans="1:11" s="6" customFormat="1" ht="20.100000000000001" customHeight="1" x14ac:dyDescent="0.25">
      <c r="A29" s="46" t="s">
        <v>228</v>
      </c>
      <c r="B29" s="46"/>
      <c r="C29" s="551"/>
      <c r="D29" s="551"/>
      <c r="E29" s="552" t="s">
        <v>182</v>
      </c>
      <c r="F29" s="552"/>
      <c r="H29" s="25" t="s">
        <v>273</v>
      </c>
      <c r="I29" s="112">
        <f>SUM(I21:I28)</f>
        <v>590062</v>
      </c>
      <c r="J29" s="31"/>
      <c r="K29" s="31"/>
    </row>
    <row r="30" spans="1:11" s="6" customFormat="1" ht="20.100000000000001" customHeight="1" x14ac:dyDescent="0.2">
      <c r="A30" s="32" t="s">
        <v>55</v>
      </c>
      <c r="E30" s="29">
        <v>42637</v>
      </c>
      <c r="H30" s="6" t="s">
        <v>275</v>
      </c>
      <c r="I30" s="31">
        <f>+C76</f>
        <v>2160000</v>
      </c>
      <c r="J30" s="31"/>
      <c r="K30" s="31"/>
    </row>
    <row r="31" spans="1:11" s="6" customFormat="1" ht="20.100000000000001" customHeight="1" thickBot="1" x14ac:dyDescent="0.3">
      <c r="A31" s="32" t="s">
        <v>56</v>
      </c>
      <c r="E31" s="34" t="s">
        <v>57</v>
      </c>
      <c r="H31" s="6" t="s">
        <v>274</v>
      </c>
      <c r="I31" s="118">
        <f>I30+I29</f>
        <v>2750062</v>
      </c>
      <c r="J31" s="31"/>
      <c r="K31" s="31"/>
    </row>
    <row r="32" spans="1:11" s="6" customFormat="1" ht="20.100000000000001" customHeight="1" thickTop="1" x14ac:dyDescent="0.25">
      <c r="A32" s="25" t="s">
        <v>198</v>
      </c>
      <c r="D32" s="3"/>
      <c r="H32" s="25" t="s">
        <v>276</v>
      </c>
      <c r="I32" s="31"/>
      <c r="J32" s="31"/>
      <c r="K32" s="31"/>
    </row>
    <row r="33" spans="1:11" s="6" customFormat="1" ht="20.100000000000001" customHeight="1" x14ac:dyDescent="0.25">
      <c r="A33" s="65" t="s">
        <v>59</v>
      </c>
      <c r="B33" s="58"/>
      <c r="C33" s="58"/>
      <c r="D33" s="74"/>
      <c r="E33" s="58"/>
      <c r="F33" s="59"/>
      <c r="H33" s="6" t="s">
        <v>318</v>
      </c>
      <c r="I33" s="31">
        <f>300000*0.9</f>
        <v>270000</v>
      </c>
      <c r="J33" s="31"/>
      <c r="K33" s="31"/>
    </row>
    <row r="34" spans="1:11" s="6" customFormat="1" ht="30" customHeight="1" x14ac:dyDescent="0.2">
      <c r="A34" s="539" t="s">
        <v>291</v>
      </c>
      <c r="B34" s="540"/>
      <c r="C34" s="540"/>
      <c r="D34" s="540"/>
      <c r="E34" s="540"/>
      <c r="F34" s="548"/>
      <c r="H34" s="6" t="s">
        <v>317</v>
      </c>
      <c r="I34" s="31">
        <f>(I31-300000)*0.6</f>
        <v>1470037.2</v>
      </c>
      <c r="J34" s="31"/>
      <c r="K34" s="31"/>
    </row>
    <row r="35" spans="1:11" s="6" customFormat="1" ht="20.100000000000001" customHeight="1" thickBot="1" x14ac:dyDescent="0.3">
      <c r="A35" s="96" t="s">
        <v>191</v>
      </c>
      <c r="B35" s="75"/>
      <c r="C35" s="75"/>
      <c r="D35" s="75"/>
      <c r="E35" s="75"/>
      <c r="F35" s="70">
        <v>1400000</v>
      </c>
      <c r="H35" s="6" t="s">
        <v>277</v>
      </c>
      <c r="I35" s="118">
        <f>SUM(I33:I34)</f>
        <v>1740037.2</v>
      </c>
      <c r="J35" s="31"/>
      <c r="K35" s="31"/>
    </row>
    <row r="36" spans="1:11" s="6" customFormat="1" ht="20.100000000000001" customHeight="1" thickTop="1" x14ac:dyDescent="0.2">
      <c r="A36" s="96" t="s">
        <v>192</v>
      </c>
      <c r="B36" s="60"/>
      <c r="C36" s="60"/>
      <c r="D36" s="60"/>
      <c r="E36" s="27"/>
      <c r="F36" s="71">
        <f>ROUND(F35*0.06,0)</f>
        <v>84000</v>
      </c>
      <c r="G36" s="5"/>
      <c r="I36" s="31"/>
      <c r="J36" s="31"/>
      <c r="K36" s="31"/>
    </row>
    <row r="37" spans="1:11" s="6" customFormat="1" ht="20.100000000000001" customHeight="1" x14ac:dyDescent="0.25">
      <c r="A37" s="96" t="s">
        <v>63</v>
      </c>
      <c r="B37" s="60"/>
      <c r="C37" s="60"/>
      <c r="D37" s="60"/>
      <c r="E37" s="69"/>
      <c r="F37" s="71">
        <f>ROUND(F35*0.3,0)</f>
        <v>420000</v>
      </c>
      <c r="G37" s="34"/>
      <c r="H37" s="123" t="s">
        <v>280</v>
      </c>
      <c r="I37" s="122"/>
      <c r="J37" s="122"/>
      <c r="K37" s="112">
        <f>SUM(K3:K36)</f>
        <v>2827051.8</v>
      </c>
    </row>
    <row r="38" spans="1:11" s="6" customFormat="1" ht="20.100000000000001" customHeight="1" x14ac:dyDescent="0.2">
      <c r="A38" s="102" t="s">
        <v>296</v>
      </c>
      <c r="B38" s="63"/>
      <c r="C38" s="63"/>
      <c r="D38" s="63"/>
      <c r="E38" s="72"/>
      <c r="F38" s="131" t="s">
        <v>297</v>
      </c>
      <c r="G38" s="34"/>
      <c r="H38" s="6" t="s">
        <v>281</v>
      </c>
      <c r="I38" s="31"/>
      <c r="J38" s="31"/>
      <c r="K38" s="31">
        <f>+F48</f>
        <v>120000</v>
      </c>
    </row>
    <row r="39" spans="1:11" s="6" customFormat="1" ht="20.100000000000001" customHeight="1" x14ac:dyDescent="0.25">
      <c r="A39" s="65" t="s">
        <v>204</v>
      </c>
      <c r="B39" s="58"/>
      <c r="C39" s="58"/>
      <c r="D39" s="58"/>
      <c r="E39" s="66"/>
      <c r="F39" s="67"/>
      <c r="G39" s="34"/>
      <c r="H39" s="6" t="s">
        <v>284</v>
      </c>
      <c r="I39" s="31"/>
      <c r="J39" s="31"/>
      <c r="K39" s="31">
        <f>K37-K38</f>
        <v>2707051.8</v>
      </c>
    </row>
    <row r="40" spans="1:11" s="6" customFormat="1" ht="20.100000000000001" customHeight="1" x14ac:dyDescent="0.2">
      <c r="A40" s="96" t="s">
        <v>328</v>
      </c>
      <c r="B40" s="60"/>
      <c r="C40" s="60"/>
      <c r="D40" s="114">
        <v>42327</v>
      </c>
      <c r="E40" s="69"/>
      <c r="F40" s="70">
        <v>6000000</v>
      </c>
      <c r="G40" s="34"/>
      <c r="H40" s="44" t="s">
        <v>282</v>
      </c>
      <c r="I40" s="28">
        <v>0.3</v>
      </c>
      <c r="J40" s="31">
        <f>ROUND((K39-K14)*0.3,0)</f>
        <v>421867</v>
      </c>
      <c r="K40" s="31"/>
    </row>
    <row r="41" spans="1:11" s="6" customFormat="1" ht="20.100000000000001" customHeight="1" x14ac:dyDescent="0.2">
      <c r="A41" s="96" t="s">
        <v>69</v>
      </c>
      <c r="B41" s="60"/>
      <c r="C41" s="60"/>
      <c r="D41" s="60"/>
      <c r="E41" s="60"/>
      <c r="F41" s="71">
        <f>ROUND(F40*1.03,0)</f>
        <v>6180000</v>
      </c>
      <c r="G41" s="34"/>
      <c r="H41" s="44" t="s">
        <v>283</v>
      </c>
      <c r="I41" s="28">
        <v>0.2</v>
      </c>
      <c r="J41" s="110">
        <f>ROUND(K14*I41,0)</f>
        <v>260165</v>
      </c>
      <c r="K41" s="31"/>
    </row>
    <row r="42" spans="1:11" s="6" customFormat="1" ht="20.100000000000001" customHeight="1" x14ac:dyDescent="0.2">
      <c r="A42" s="96" t="s">
        <v>71</v>
      </c>
      <c r="B42" s="60"/>
      <c r="C42" s="60"/>
      <c r="D42" s="60"/>
      <c r="E42" s="27"/>
      <c r="F42" s="71">
        <f>ROUND(F40*0.01,0)</f>
        <v>60000</v>
      </c>
      <c r="G42" s="5"/>
      <c r="H42" s="44"/>
      <c r="I42" s="31"/>
      <c r="J42" s="31">
        <f>SUM(J40:J41)</f>
        <v>682032</v>
      </c>
      <c r="K42" s="31"/>
    </row>
    <row r="43" spans="1:11" s="6" customFormat="1" ht="20.100000000000001" customHeight="1" x14ac:dyDescent="0.2">
      <c r="A43" s="96" t="s">
        <v>249</v>
      </c>
      <c r="B43" s="60"/>
      <c r="C43" s="60"/>
      <c r="D43" s="68">
        <f>D40-11000</f>
        <v>31327</v>
      </c>
      <c r="E43" s="27"/>
      <c r="F43" s="71">
        <f>ROUND(F40/40,0)</f>
        <v>150000</v>
      </c>
      <c r="G43" s="5"/>
      <c r="H43" s="44" t="s">
        <v>285</v>
      </c>
      <c r="I43" s="28">
        <v>0.03</v>
      </c>
      <c r="J43" s="110">
        <f>ROUND(I43*J42,0)</f>
        <v>20461</v>
      </c>
    </row>
    <row r="44" spans="1:11" s="6" customFormat="1" ht="20.100000000000001" customHeight="1" x14ac:dyDescent="0.25">
      <c r="A44" s="102" t="s">
        <v>329</v>
      </c>
      <c r="B44" s="63"/>
      <c r="C44" s="63"/>
      <c r="D44" s="115">
        <f>D40+130</f>
        <v>42457</v>
      </c>
      <c r="E44" s="72"/>
      <c r="F44" s="73">
        <f>ROUND(F40*0.6,0)</f>
        <v>3600000</v>
      </c>
      <c r="G44" s="34"/>
      <c r="H44" s="6" t="s">
        <v>286</v>
      </c>
      <c r="I44" s="28"/>
      <c r="K44" s="125">
        <f>J42+J43</f>
        <v>702493</v>
      </c>
    </row>
    <row r="45" spans="1:11" s="6" customFormat="1" ht="20.100000000000001" customHeight="1" x14ac:dyDescent="0.25">
      <c r="A45" s="65" t="s">
        <v>79</v>
      </c>
      <c r="B45" s="58"/>
      <c r="C45" s="58"/>
      <c r="D45" s="60"/>
      <c r="E45" s="60"/>
      <c r="F45" s="67"/>
      <c r="H45" s="6" t="s">
        <v>287</v>
      </c>
      <c r="J45" s="31">
        <f>ROUND(J4*0.1,0)</f>
        <v>140000</v>
      </c>
      <c r="K45" s="31"/>
    </row>
    <row r="46" spans="1:11" s="6" customFormat="1" ht="20.25" customHeight="1" x14ac:dyDescent="0.2">
      <c r="A46" s="539" t="s">
        <v>330</v>
      </c>
      <c r="B46" s="540"/>
      <c r="C46" s="540"/>
      <c r="D46" s="540"/>
      <c r="E46" s="540"/>
      <c r="F46" s="70">
        <v>150000</v>
      </c>
      <c r="G46" s="34"/>
      <c r="H46" s="6" t="s">
        <v>288</v>
      </c>
      <c r="J46" s="110">
        <f>F50+F51</f>
        <v>82500</v>
      </c>
      <c r="K46" s="31">
        <f>J45+J46</f>
        <v>222500</v>
      </c>
    </row>
    <row r="47" spans="1:11" s="6" customFormat="1" ht="20.100000000000001" customHeight="1" x14ac:dyDescent="0.25">
      <c r="A47" s="102" t="s">
        <v>189</v>
      </c>
      <c r="B47" s="103"/>
      <c r="C47" s="103"/>
      <c r="D47" s="103"/>
      <c r="E47" s="105"/>
      <c r="F47" s="73">
        <f>ROUND(F46/10,0)</f>
        <v>15000</v>
      </c>
      <c r="G47" s="5"/>
      <c r="H47" s="123" t="s">
        <v>289</v>
      </c>
      <c r="I47" s="31"/>
      <c r="K47" s="124">
        <f>K44-K46</f>
        <v>479993</v>
      </c>
    </row>
    <row r="48" spans="1:11" s="6" customFormat="1" ht="20.100000000000001" customHeight="1" x14ac:dyDescent="0.2">
      <c r="A48" s="6" t="s">
        <v>193</v>
      </c>
      <c r="E48" s="5"/>
      <c r="F48" s="30">
        <v>120000</v>
      </c>
      <c r="G48" s="5"/>
    </row>
    <row r="49" spans="1:11" s="6" customFormat="1" ht="20.100000000000001" customHeight="1" x14ac:dyDescent="0.2">
      <c r="A49" s="6" t="s">
        <v>194</v>
      </c>
      <c r="F49" s="24"/>
      <c r="K49" s="31"/>
    </row>
    <row r="50" spans="1:11" s="6" customFormat="1" ht="20.100000000000001" customHeight="1" x14ac:dyDescent="0.2">
      <c r="A50" s="6" t="s">
        <v>315</v>
      </c>
      <c r="E50" s="5"/>
      <c r="F50" s="24">
        <f>ROUND(F54/400,0)</f>
        <v>37500</v>
      </c>
      <c r="G50" s="5"/>
      <c r="I50" s="31"/>
      <c r="J50" s="31"/>
      <c r="K50" s="31"/>
    </row>
    <row r="51" spans="1:11" s="6" customFormat="1" ht="20.100000000000001" customHeight="1" x14ac:dyDescent="0.2">
      <c r="A51" s="6" t="s">
        <v>316</v>
      </c>
      <c r="E51" s="5"/>
      <c r="F51" s="24">
        <f>ROUND(F50*1.2,0)</f>
        <v>45000</v>
      </c>
      <c r="G51" s="5"/>
      <c r="I51" s="31"/>
      <c r="J51" s="31"/>
      <c r="K51" s="31"/>
    </row>
    <row r="52" spans="1:11" s="6" customFormat="1" ht="18" customHeight="1" x14ac:dyDescent="0.2">
      <c r="A52" s="541" t="s">
        <v>200</v>
      </c>
      <c r="B52" s="542"/>
      <c r="C52" s="542"/>
      <c r="D52" s="542"/>
      <c r="E52" s="542"/>
      <c r="F52" s="543"/>
      <c r="I52" s="31"/>
      <c r="J52" s="31"/>
      <c r="K52" s="31"/>
    </row>
    <row r="53" spans="1:11" s="6" customFormat="1" ht="20.100000000000001" customHeight="1" x14ac:dyDescent="0.25">
      <c r="A53" s="544" t="s">
        <v>232</v>
      </c>
      <c r="B53" s="544"/>
      <c r="C53" s="544"/>
      <c r="D53" s="544"/>
      <c r="E53" s="544"/>
      <c r="F53" s="544"/>
      <c r="G53" s="25"/>
      <c r="H53" s="25"/>
      <c r="I53" s="112"/>
      <c r="J53" s="31"/>
      <c r="K53" s="31"/>
    </row>
    <row r="54" spans="1:11" s="6" customFormat="1" ht="20.100000000000001" customHeight="1" x14ac:dyDescent="0.2">
      <c r="A54" s="47" t="s">
        <v>202</v>
      </c>
      <c r="B54" s="48"/>
      <c r="C54" s="51">
        <f>ROUND(F57*1.1,0)</f>
        <v>1683000</v>
      </c>
      <c r="D54" s="50" t="s">
        <v>199</v>
      </c>
      <c r="E54" s="49"/>
      <c r="F54" s="53">
        <v>15000000</v>
      </c>
      <c r="G54" s="34"/>
      <c r="I54" s="31"/>
      <c r="J54" s="31"/>
      <c r="K54" s="31"/>
    </row>
    <row r="55" spans="1:11" s="6" customFormat="1" ht="20.100000000000001" customHeight="1" x14ac:dyDescent="0.2">
      <c r="A55" s="47" t="s">
        <v>203</v>
      </c>
      <c r="B55" s="48"/>
      <c r="C55" s="51">
        <f>ROUND(F54*0.525,0)</f>
        <v>7875000</v>
      </c>
      <c r="D55" s="50" t="s">
        <v>233</v>
      </c>
      <c r="E55" s="49"/>
      <c r="F55" s="51">
        <f>ROUND(F54*0.01,0)</f>
        <v>150000</v>
      </c>
      <c r="G55" s="34"/>
      <c r="I55" s="31"/>
      <c r="J55" s="31"/>
      <c r="K55" s="31"/>
    </row>
    <row r="56" spans="1:11" s="6" customFormat="1" ht="20.100000000000001" customHeight="1" x14ac:dyDescent="0.2">
      <c r="A56" s="47" t="s">
        <v>98</v>
      </c>
      <c r="B56" s="48"/>
      <c r="C56" s="51">
        <f>ROUND(C55/100,0)+5000</f>
        <v>83750</v>
      </c>
      <c r="D56" s="50" t="s">
        <v>201</v>
      </c>
      <c r="E56" s="85"/>
      <c r="F56" s="51">
        <f>ROUND(F55*1.15,0)</f>
        <v>172500</v>
      </c>
      <c r="G56" s="34"/>
      <c r="I56" s="31">
        <f>SUM(C54:C74)+C77-C74</f>
        <v>13560938</v>
      </c>
      <c r="J56" s="31"/>
      <c r="K56" s="31"/>
    </row>
    <row r="57" spans="1:11" s="6" customFormat="1" ht="20.100000000000001" customHeight="1" x14ac:dyDescent="0.2">
      <c r="A57" s="47" t="s">
        <v>214</v>
      </c>
      <c r="B57" s="48"/>
      <c r="C57" s="51">
        <f>ROUND(C56*1.1,0)</f>
        <v>92125</v>
      </c>
      <c r="D57" s="50" t="s">
        <v>164</v>
      </c>
      <c r="E57" s="85"/>
      <c r="F57" s="51">
        <f>ROUND(F54/10+F55/5,0)</f>
        <v>1530000</v>
      </c>
      <c r="G57" s="34"/>
      <c r="I57" s="31"/>
      <c r="J57" s="31"/>
      <c r="K57" s="31"/>
    </row>
    <row r="58" spans="1:11" s="6" customFormat="1" ht="20.100000000000001" customHeight="1" x14ac:dyDescent="0.2">
      <c r="A58" s="47" t="s">
        <v>102</v>
      </c>
      <c r="B58" s="48"/>
      <c r="C58" s="51">
        <f>ROUND(F56/4,0)</f>
        <v>43125</v>
      </c>
      <c r="D58" s="84"/>
      <c r="E58" s="69"/>
      <c r="F58" s="86"/>
      <c r="G58" s="34"/>
      <c r="I58" s="31"/>
      <c r="J58" s="31"/>
      <c r="K58" s="31"/>
    </row>
    <row r="59" spans="1:11" s="6" customFormat="1" ht="20.100000000000001" customHeight="1" x14ac:dyDescent="0.2">
      <c r="A59" s="47" t="s">
        <v>103</v>
      </c>
      <c r="B59" s="48"/>
      <c r="C59" s="52">
        <f>ROUND(C58/5,0)</f>
        <v>8625</v>
      </c>
      <c r="D59" s="84"/>
      <c r="E59" s="27"/>
      <c r="F59" s="86"/>
      <c r="G59" s="5"/>
      <c r="I59" s="31"/>
      <c r="J59" s="31"/>
      <c r="K59" s="31"/>
    </row>
    <row r="60" spans="1:11" s="6" customFormat="1" ht="20.100000000000001" customHeight="1" x14ac:dyDescent="0.2">
      <c r="A60" s="47" t="s">
        <v>205</v>
      </c>
      <c r="B60" s="48"/>
      <c r="C60" s="51">
        <f>C58+C59</f>
        <v>51750</v>
      </c>
      <c r="D60" s="60"/>
      <c r="E60" s="27"/>
      <c r="F60" s="86"/>
      <c r="G60" s="5"/>
      <c r="I60" s="31"/>
      <c r="J60" s="31"/>
      <c r="K60" s="31"/>
    </row>
    <row r="61" spans="1:11" s="6" customFormat="1" ht="20.100000000000001" customHeight="1" x14ac:dyDescent="0.2">
      <c r="A61" s="47" t="s">
        <v>206</v>
      </c>
      <c r="B61" s="48"/>
      <c r="C61" s="51">
        <f>ROUND(+C58*1.1,0)</f>
        <v>47438</v>
      </c>
      <c r="D61" s="60"/>
      <c r="E61" s="27"/>
      <c r="F61" s="86"/>
      <c r="G61" s="5"/>
      <c r="I61" s="31"/>
      <c r="J61" s="31"/>
      <c r="K61" s="31"/>
    </row>
    <row r="62" spans="1:11" s="6" customFormat="1" ht="20.100000000000001" customHeight="1" x14ac:dyDescent="0.2">
      <c r="A62" s="47" t="s">
        <v>207</v>
      </c>
      <c r="B62" s="48"/>
      <c r="C62" s="51">
        <f>ROUND(+F55/2,0)</f>
        <v>75000</v>
      </c>
      <c r="D62" s="60"/>
      <c r="E62" s="27"/>
      <c r="F62" s="86"/>
      <c r="G62" s="5"/>
      <c r="I62" s="31"/>
      <c r="J62" s="31"/>
      <c r="K62" s="31"/>
    </row>
    <row r="63" spans="1:11" s="6" customFormat="1" ht="20.100000000000001" customHeight="1" x14ac:dyDescent="0.2">
      <c r="A63" s="47" t="s">
        <v>107</v>
      </c>
      <c r="B63" s="48"/>
      <c r="C63" s="51">
        <f>ROUND(F54*0.15,0)</f>
        <v>2250000</v>
      </c>
      <c r="D63" s="60"/>
      <c r="E63" s="69"/>
      <c r="F63" s="86"/>
      <c r="G63" s="34"/>
      <c r="I63" s="31"/>
      <c r="J63" s="31"/>
      <c r="K63" s="31"/>
    </row>
    <row r="64" spans="1:11" s="6" customFormat="1" ht="20.100000000000001" customHeight="1" x14ac:dyDescent="0.2">
      <c r="A64" s="47" t="s">
        <v>109</v>
      </c>
      <c r="B64" s="48"/>
      <c r="C64" s="51">
        <f>ROUND(+C59+2000,0)</f>
        <v>10625</v>
      </c>
      <c r="D64" s="60"/>
      <c r="E64" s="27"/>
      <c r="F64" s="86"/>
      <c r="G64" s="5"/>
      <c r="I64" s="31"/>
      <c r="J64" s="31"/>
      <c r="K64" s="31"/>
    </row>
    <row r="65" spans="1:11" s="6" customFormat="1" ht="20.100000000000001" customHeight="1" x14ac:dyDescent="0.2">
      <c r="A65" s="47" t="s">
        <v>110</v>
      </c>
      <c r="B65" s="48"/>
      <c r="C65" s="51">
        <f>+C62+C60</f>
        <v>126750</v>
      </c>
      <c r="D65" s="60"/>
      <c r="E65" s="27"/>
      <c r="F65" s="86"/>
      <c r="G65" s="5"/>
      <c r="I65" s="31"/>
      <c r="J65" s="31"/>
      <c r="K65" s="31"/>
    </row>
    <row r="66" spans="1:11" s="6" customFormat="1" ht="20.100000000000001" customHeight="1" x14ac:dyDescent="0.2">
      <c r="A66" s="47" t="s">
        <v>111</v>
      </c>
      <c r="B66" s="48"/>
      <c r="C66" s="51">
        <f>ROUND(F54/125,0)</f>
        <v>120000</v>
      </c>
      <c r="D66" s="60"/>
      <c r="E66" s="27"/>
      <c r="F66" s="86"/>
      <c r="G66" s="5"/>
      <c r="I66" s="31"/>
      <c r="J66" s="31"/>
      <c r="K66" s="31"/>
    </row>
    <row r="67" spans="1:11" s="6" customFormat="1" ht="20.100000000000001" customHeight="1" x14ac:dyDescent="0.2">
      <c r="A67" s="47" t="s">
        <v>208</v>
      </c>
      <c r="B67" s="48"/>
      <c r="C67" s="51">
        <f>ROUND(C66*2.25,0)</f>
        <v>270000</v>
      </c>
      <c r="D67" s="60"/>
      <c r="E67" s="69"/>
      <c r="F67" s="86"/>
      <c r="G67" s="34"/>
      <c r="I67" s="31"/>
      <c r="J67" s="31"/>
      <c r="K67" s="31"/>
    </row>
    <row r="68" spans="1:11" s="6" customFormat="1" ht="20.100000000000001" customHeight="1" x14ac:dyDescent="0.2">
      <c r="A68" s="47" t="s">
        <v>114</v>
      </c>
      <c r="B68" s="48"/>
      <c r="C68" s="51">
        <f>ROUND(+C62/2,0)</f>
        <v>37500</v>
      </c>
      <c r="D68" s="60"/>
      <c r="E68" s="27"/>
      <c r="F68" s="86"/>
      <c r="G68" s="5"/>
      <c r="I68" s="31"/>
      <c r="J68" s="31"/>
      <c r="K68" s="31"/>
    </row>
    <row r="69" spans="1:11" s="6" customFormat="1" ht="20.100000000000001" customHeight="1" x14ac:dyDescent="0.2">
      <c r="A69" s="47" t="s">
        <v>209</v>
      </c>
      <c r="B69" s="48"/>
      <c r="C69" s="51">
        <f>C68+C66</f>
        <v>157500</v>
      </c>
      <c r="D69" s="60"/>
      <c r="E69" s="27"/>
      <c r="F69" s="86"/>
      <c r="G69" s="5"/>
      <c r="I69" s="31"/>
      <c r="J69" s="31"/>
      <c r="K69" s="31"/>
    </row>
    <row r="70" spans="1:11" s="6" customFormat="1" ht="20.100000000000001" customHeight="1" x14ac:dyDescent="0.2">
      <c r="A70" s="47" t="s">
        <v>116</v>
      </c>
      <c r="B70" s="48"/>
      <c r="C70" s="51">
        <f>ROUND(F55*0.4,0)</f>
        <v>60000</v>
      </c>
      <c r="D70" s="60"/>
      <c r="E70" s="69"/>
      <c r="F70" s="86"/>
      <c r="G70" s="34"/>
      <c r="I70" s="31"/>
      <c r="J70" s="31"/>
      <c r="K70" s="31"/>
    </row>
    <row r="71" spans="1:11" s="6" customFormat="1" ht="20.100000000000001" customHeight="1" x14ac:dyDescent="0.2">
      <c r="A71" s="47" t="s">
        <v>118</v>
      </c>
      <c r="B71" s="48"/>
      <c r="C71" s="51">
        <f>ROUND(C63*0.015,0)</f>
        <v>33750</v>
      </c>
      <c r="D71" s="60"/>
      <c r="E71" s="27"/>
      <c r="F71" s="86"/>
      <c r="G71" s="5"/>
      <c r="I71" s="31"/>
      <c r="J71" s="31"/>
      <c r="K71" s="31"/>
    </row>
    <row r="72" spans="1:11" s="6" customFormat="1" ht="20.100000000000001" customHeight="1" x14ac:dyDescent="0.2">
      <c r="A72" s="47" t="s">
        <v>119</v>
      </c>
      <c r="B72" s="48"/>
      <c r="C72" s="51">
        <f>ROUND(F54*0.016,0)</f>
        <v>240000</v>
      </c>
      <c r="D72" s="60"/>
      <c r="E72" s="69"/>
      <c r="F72" s="86"/>
      <c r="G72" s="34"/>
      <c r="I72" s="31"/>
      <c r="J72" s="31"/>
      <c r="K72" s="31"/>
    </row>
    <row r="73" spans="1:11" s="6" customFormat="1" ht="20.100000000000001" customHeight="1" x14ac:dyDescent="0.2">
      <c r="A73" s="47" t="s">
        <v>122</v>
      </c>
      <c r="B73" s="48"/>
      <c r="C73" s="51">
        <f>ROUND(F54*0.0015,0)</f>
        <v>22500</v>
      </c>
      <c r="D73" s="60"/>
      <c r="E73" s="27"/>
      <c r="F73" s="86"/>
      <c r="G73" s="5"/>
      <c r="I73" s="31"/>
      <c r="J73" s="31"/>
      <c r="K73" s="31"/>
    </row>
    <row r="74" spans="1:11" s="6" customFormat="1" ht="20.100000000000001" customHeight="1" x14ac:dyDescent="0.2">
      <c r="A74" s="47" t="s">
        <v>123</v>
      </c>
      <c r="B74" s="48"/>
      <c r="C74" s="51">
        <f>ROUND(E92*0.18+F92*0.25,0)</f>
        <v>328860</v>
      </c>
      <c r="D74" s="60"/>
      <c r="E74" s="69"/>
      <c r="F74" s="86"/>
      <c r="G74" s="34"/>
      <c r="I74" s="31"/>
      <c r="J74" s="31"/>
      <c r="K74" s="31"/>
    </row>
    <row r="75" spans="1:11" s="6" customFormat="1" ht="20.100000000000001" customHeight="1" x14ac:dyDescent="0.2">
      <c r="A75" s="47" t="s">
        <v>215</v>
      </c>
      <c r="B75" s="48"/>
      <c r="C75" s="51">
        <f>(C97+C98+C99)*0.14</f>
        <v>448000.00000000006</v>
      </c>
      <c r="D75" s="60"/>
      <c r="E75" s="69"/>
      <c r="F75" s="86"/>
      <c r="G75" s="34"/>
      <c r="I75" s="31"/>
      <c r="J75" s="31"/>
      <c r="K75" s="31"/>
    </row>
    <row r="76" spans="1:11" s="6" customFormat="1" ht="25.5" customHeight="1" x14ac:dyDescent="0.2">
      <c r="A76" s="545" t="s">
        <v>331</v>
      </c>
      <c r="B76" s="546"/>
      <c r="C76" s="53">
        <f>60000*12*3</f>
        <v>2160000</v>
      </c>
      <c r="D76" s="60"/>
      <c r="E76" s="69"/>
      <c r="F76" s="86"/>
      <c r="G76" s="34"/>
      <c r="I76" s="31"/>
      <c r="J76" s="31"/>
      <c r="K76" s="31"/>
    </row>
    <row r="77" spans="1:11" s="6" customFormat="1" ht="20.100000000000001" customHeight="1" x14ac:dyDescent="0.2">
      <c r="A77" s="47" t="s">
        <v>125</v>
      </c>
      <c r="B77" s="48"/>
      <c r="C77" s="51">
        <f>F81+F84+F48+25000</f>
        <v>272500</v>
      </c>
      <c r="D77" s="60"/>
      <c r="E77" s="69"/>
      <c r="F77" s="86"/>
      <c r="G77" s="34"/>
      <c r="I77" s="31"/>
      <c r="J77" s="31"/>
      <c r="K77" s="31"/>
    </row>
    <row r="78" spans="1:11" s="6" customFormat="1" ht="20.100000000000001" customHeight="1" x14ac:dyDescent="0.2">
      <c r="A78" s="54" t="s">
        <v>126</v>
      </c>
      <c r="B78" s="55"/>
      <c r="C78" s="56">
        <f>F79-SUM(C54:C77)</f>
        <v>354702</v>
      </c>
      <c r="D78" s="60"/>
      <c r="E78" s="133" t="s">
        <v>298</v>
      </c>
      <c r="F78" s="87"/>
      <c r="G78" s="27"/>
      <c r="I78" s="31"/>
      <c r="J78" s="31"/>
      <c r="K78" s="31"/>
    </row>
    <row r="79" spans="1:11" s="6" customFormat="1" ht="20.100000000000001" customHeight="1" thickBot="1" x14ac:dyDescent="0.3">
      <c r="A79" s="88"/>
      <c r="B79" s="57"/>
      <c r="C79" s="81">
        <f>+F79</f>
        <v>16852500</v>
      </c>
      <c r="D79" s="57"/>
      <c r="E79" s="132"/>
      <c r="F79" s="81">
        <f>SUM(F54:F70)</f>
        <v>16852500</v>
      </c>
      <c r="G79" s="27"/>
      <c r="I79" s="31"/>
      <c r="J79" s="31"/>
      <c r="K79" s="31"/>
    </row>
    <row r="80" spans="1:11" s="6" customFormat="1" ht="26.25" customHeight="1" thickTop="1" x14ac:dyDescent="0.25">
      <c r="A80" s="25" t="s">
        <v>134</v>
      </c>
      <c r="I80" s="31"/>
      <c r="J80" s="31"/>
      <c r="K80" s="31"/>
    </row>
    <row r="81" spans="1:11" s="6" customFormat="1" ht="20.100000000000001" customHeight="1" x14ac:dyDescent="0.2">
      <c r="A81" s="32" t="s">
        <v>332</v>
      </c>
      <c r="B81" s="32"/>
      <c r="C81" s="32"/>
      <c r="D81" s="32"/>
      <c r="E81" s="32"/>
      <c r="F81" s="31">
        <f>ROUND(+C73*2,0)</f>
        <v>45000</v>
      </c>
      <c r="I81" s="31"/>
      <c r="J81" s="31"/>
      <c r="K81" s="31"/>
    </row>
    <row r="82" spans="1:11" s="6" customFormat="1" ht="20.100000000000001" customHeight="1" x14ac:dyDescent="0.2">
      <c r="A82" s="32" t="s">
        <v>268</v>
      </c>
      <c r="B82" s="32"/>
      <c r="C82" s="32"/>
      <c r="D82" s="32"/>
      <c r="E82" s="120">
        <f>+D40</f>
        <v>42327</v>
      </c>
      <c r="F82" s="31">
        <f>F55/10</f>
        <v>15000</v>
      </c>
      <c r="I82" s="31"/>
      <c r="J82" s="31"/>
      <c r="K82" s="31"/>
    </row>
    <row r="83" spans="1:11" s="6" customFormat="1" ht="20.100000000000001" customHeight="1" x14ac:dyDescent="0.2">
      <c r="A83" s="32" t="s">
        <v>312</v>
      </c>
      <c r="B83" s="32"/>
      <c r="C83" s="32"/>
      <c r="D83" s="32"/>
      <c r="E83" s="32"/>
      <c r="F83" s="31">
        <f>+C73</f>
        <v>22500</v>
      </c>
      <c r="I83" s="31"/>
      <c r="J83" s="31"/>
      <c r="K83" s="31"/>
    </row>
    <row r="84" spans="1:11" s="6" customFormat="1" ht="20.100000000000001" customHeight="1" x14ac:dyDescent="0.2">
      <c r="A84" s="32" t="s">
        <v>144</v>
      </c>
      <c r="B84" s="32"/>
      <c r="C84" s="32"/>
      <c r="D84" s="32"/>
      <c r="E84" s="32"/>
      <c r="F84" s="31">
        <f>+F50+F51</f>
        <v>82500</v>
      </c>
      <c r="I84" s="31"/>
      <c r="J84" s="31"/>
      <c r="K84" s="31"/>
    </row>
    <row r="85" spans="1:11" s="6" customFormat="1" ht="30.75" customHeight="1" x14ac:dyDescent="0.2">
      <c r="A85" s="547" t="s">
        <v>213</v>
      </c>
      <c r="B85" s="547"/>
      <c r="C85" s="547"/>
      <c r="D85" s="547"/>
      <c r="E85" s="547"/>
      <c r="F85" s="33">
        <v>30000</v>
      </c>
      <c r="I85" s="5"/>
      <c r="J85" s="5"/>
      <c r="K85" s="31"/>
    </row>
    <row r="86" spans="1:11" s="6" customFormat="1" ht="20.100000000000001" customHeight="1" x14ac:dyDescent="0.2">
      <c r="A86" s="32" t="s">
        <v>217</v>
      </c>
      <c r="B86" s="32"/>
      <c r="C86" s="32"/>
      <c r="D86" s="32"/>
      <c r="E86" s="32"/>
      <c r="I86" s="28">
        <v>0.15</v>
      </c>
      <c r="J86" s="28">
        <v>0.6</v>
      </c>
      <c r="K86" s="31"/>
    </row>
    <row r="87" spans="1:11" s="6" customFormat="1" ht="22.5" customHeight="1" x14ac:dyDescent="0.2">
      <c r="A87" s="39"/>
      <c r="B87" s="40"/>
      <c r="C87" s="40"/>
      <c r="D87" s="41"/>
      <c r="E87" s="108" t="s">
        <v>229</v>
      </c>
      <c r="F87" s="109" t="s">
        <v>218</v>
      </c>
      <c r="G87" s="34"/>
      <c r="I87" s="5" t="s">
        <v>262</v>
      </c>
      <c r="J87" s="5" t="s">
        <v>263</v>
      </c>
      <c r="K87" s="31"/>
    </row>
    <row r="88" spans="1:11" s="6" customFormat="1" ht="20.100000000000001" customHeight="1" x14ac:dyDescent="0.2">
      <c r="A88" s="42" t="s">
        <v>219</v>
      </c>
      <c r="B88" s="40"/>
      <c r="C88" s="41"/>
      <c r="D88" s="76">
        <v>42095</v>
      </c>
      <c r="E88" s="77">
        <v>1200000</v>
      </c>
      <c r="F88" s="78">
        <f>ROUND(E88*0.15,0)</f>
        <v>180000</v>
      </c>
      <c r="G88" s="34"/>
      <c r="H88" s="6" t="s">
        <v>264</v>
      </c>
      <c r="I88" s="31">
        <f>(E88+E89-E91)*I86</f>
        <v>205200</v>
      </c>
      <c r="J88" s="31">
        <f>(F88+F89-F91)*J86</f>
        <v>123120</v>
      </c>
      <c r="K88" s="31"/>
    </row>
    <row r="89" spans="1:11" s="6" customFormat="1" ht="20.100000000000001" customHeight="1" x14ac:dyDescent="0.2">
      <c r="A89" s="42" t="s">
        <v>220</v>
      </c>
      <c r="B89" s="40"/>
      <c r="C89" s="41"/>
      <c r="D89" s="79">
        <v>42115</v>
      </c>
      <c r="E89" s="52">
        <f>ROUND(E88*0.2,0)</f>
        <v>240000</v>
      </c>
      <c r="F89" s="52">
        <f>ROUND(F88*0.2,0)</f>
        <v>36000</v>
      </c>
      <c r="G89" s="34"/>
      <c r="H89" s="6" t="s">
        <v>265</v>
      </c>
      <c r="I89" s="31">
        <f>E90*I86/2</f>
        <v>10800</v>
      </c>
      <c r="J89" s="31">
        <f>F90*J86/2</f>
        <v>6480</v>
      </c>
      <c r="K89" s="31"/>
    </row>
    <row r="90" spans="1:11" s="6" customFormat="1" ht="20.100000000000001" customHeight="1" x14ac:dyDescent="0.2">
      <c r="A90" s="42" t="s">
        <v>220</v>
      </c>
      <c r="B90" s="40"/>
      <c r="C90" s="41"/>
      <c r="D90" s="76">
        <f>D89+175</f>
        <v>42290</v>
      </c>
      <c r="E90" s="52">
        <f>ROUND(E89*0.6,0)</f>
        <v>144000</v>
      </c>
      <c r="F90" s="52">
        <f>ROUND(F89*0.6,0)</f>
        <v>21600</v>
      </c>
      <c r="G90" s="34"/>
      <c r="H90" s="6" t="s">
        <v>266</v>
      </c>
      <c r="I90" s="31">
        <f>E90*0.2/2</f>
        <v>14400</v>
      </c>
      <c r="J90" s="31"/>
      <c r="K90" s="31"/>
    </row>
    <row r="91" spans="1:11" s="6" customFormat="1" ht="20.100000000000001" customHeight="1" thickBot="1" x14ac:dyDescent="0.3">
      <c r="A91" s="42" t="s">
        <v>221</v>
      </c>
      <c r="B91" s="40"/>
      <c r="C91" s="41"/>
      <c r="D91" s="76">
        <f>D89+35</f>
        <v>42150</v>
      </c>
      <c r="E91" s="52">
        <f>ROUND(E89*0.3,0)</f>
        <v>72000</v>
      </c>
      <c r="F91" s="52">
        <f>ROUND(F89*0.3,0)</f>
        <v>10800</v>
      </c>
      <c r="G91" s="34"/>
      <c r="I91" s="118">
        <f>SUM(I88:I90)</f>
        <v>230400</v>
      </c>
      <c r="J91" s="118">
        <f>SUM(J88:J90)</f>
        <v>129600</v>
      </c>
      <c r="K91" s="31"/>
    </row>
    <row r="92" spans="1:11" s="6" customFormat="1" ht="20.100000000000001" customHeight="1" thickTop="1" x14ac:dyDescent="0.2">
      <c r="A92" s="42" t="s">
        <v>222</v>
      </c>
      <c r="B92" s="40"/>
      <c r="C92" s="41"/>
      <c r="D92" s="76">
        <v>42460</v>
      </c>
      <c r="E92" s="51">
        <f>E88+E89+E90-E91</f>
        <v>1512000</v>
      </c>
      <c r="F92" s="51">
        <f>F88+F89+F90-F91</f>
        <v>226800</v>
      </c>
      <c r="G92" s="34"/>
      <c r="I92" s="31"/>
      <c r="J92" s="31"/>
      <c r="K92" s="31"/>
    </row>
    <row r="93" spans="1:11" s="6" customFormat="1" ht="33" customHeight="1" x14ac:dyDescent="0.2">
      <c r="A93" s="547" t="s">
        <v>223</v>
      </c>
      <c r="B93" s="547"/>
      <c r="C93" s="547"/>
      <c r="D93" s="547"/>
      <c r="E93" s="547"/>
      <c r="F93" s="547"/>
      <c r="I93" s="31"/>
      <c r="J93" s="31"/>
      <c r="K93" s="31"/>
    </row>
    <row r="94" spans="1:11" s="6" customFormat="1" ht="18.75" customHeight="1" x14ac:dyDescent="0.2">
      <c r="A94" s="128"/>
      <c r="B94" s="128"/>
      <c r="C94" s="128"/>
      <c r="D94" s="128"/>
      <c r="E94" s="128"/>
      <c r="F94" s="128"/>
      <c r="I94" s="31"/>
      <c r="J94" s="31"/>
      <c r="K94" s="31"/>
    </row>
    <row r="95" spans="1:11" s="6" customFormat="1" ht="18" customHeight="1" x14ac:dyDescent="0.2">
      <c r="A95" s="538" t="s">
        <v>230</v>
      </c>
      <c r="B95" s="538"/>
      <c r="C95" s="538"/>
      <c r="D95" s="538"/>
      <c r="E95" s="538"/>
      <c r="F95" s="538"/>
      <c r="I95" s="31"/>
      <c r="J95" s="31"/>
      <c r="K95" s="31"/>
    </row>
    <row r="96" spans="1:11" s="6" customFormat="1" ht="20.100000000000001" customHeight="1" x14ac:dyDescent="0.2">
      <c r="A96" s="42" t="s">
        <v>160</v>
      </c>
      <c r="B96" s="41"/>
      <c r="C96" s="51"/>
      <c r="D96" s="42" t="s">
        <v>164</v>
      </c>
      <c r="E96" s="41"/>
      <c r="F96" s="51">
        <f>+F57</f>
        <v>1530000</v>
      </c>
      <c r="I96" s="31"/>
      <c r="J96" s="31"/>
      <c r="K96" s="31"/>
    </row>
    <row r="97" spans="1:11" s="6" customFormat="1" ht="20.100000000000001" customHeight="1" x14ac:dyDescent="0.2">
      <c r="A97" s="89" t="str">
        <f>+D17</f>
        <v xml:space="preserve">Mohd Sajid </v>
      </c>
      <c r="B97" s="60"/>
      <c r="C97" s="53">
        <v>1600000</v>
      </c>
      <c r="D97" s="42" t="s">
        <v>166</v>
      </c>
      <c r="E97" s="41"/>
      <c r="F97" s="51">
        <f>ROUND((C97+C98+C99)*1.75,0)</f>
        <v>5600000</v>
      </c>
      <c r="G97" s="34"/>
      <c r="I97" s="31"/>
      <c r="J97" s="31"/>
      <c r="K97" s="31"/>
    </row>
    <row r="98" spans="1:11" s="6" customFormat="1" ht="20.100000000000001" customHeight="1" x14ac:dyDescent="0.2">
      <c r="A98" s="89" t="str">
        <f>+E17</f>
        <v>Nutan Garg</v>
      </c>
      <c r="B98" s="60"/>
      <c r="C98" s="80">
        <f>C97/D19*E19</f>
        <v>800000</v>
      </c>
      <c r="D98" s="42" t="s">
        <v>168</v>
      </c>
      <c r="E98" s="41"/>
      <c r="F98" s="51">
        <f>E92+F92</f>
        <v>1738800</v>
      </c>
      <c r="G98" s="34"/>
      <c r="I98" s="31"/>
      <c r="J98" s="31"/>
      <c r="K98" s="31"/>
    </row>
    <row r="99" spans="1:11" s="6" customFormat="1" ht="20.100000000000001" customHeight="1" x14ac:dyDescent="0.2">
      <c r="A99" s="89" t="str">
        <f>+F17</f>
        <v xml:space="preserve">Hari Ram </v>
      </c>
      <c r="B99" s="60"/>
      <c r="C99" s="80">
        <f>C97/D19*F19</f>
        <v>800000</v>
      </c>
      <c r="D99" s="42" t="s">
        <v>170</v>
      </c>
      <c r="E99" s="41"/>
      <c r="F99" s="51">
        <f>C97+C98</f>
        <v>2400000</v>
      </c>
      <c r="G99" s="34"/>
      <c r="I99" s="31"/>
      <c r="J99" s="31"/>
      <c r="K99" s="31"/>
    </row>
    <row r="100" spans="1:11" s="6" customFormat="1" ht="20.100000000000001" customHeight="1" x14ac:dyDescent="0.2">
      <c r="A100" s="42" t="s">
        <v>176</v>
      </c>
      <c r="B100" s="41"/>
      <c r="C100" s="51">
        <f>C102-C97-C98-C99</f>
        <v>15760425</v>
      </c>
      <c r="D100" s="42" t="s">
        <v>172</v>
      </c>
      <c r="E100" s="41"/>
      <c r="F100" s="51">
        <f>F97+F96+25000</f>
        <v>7155000</v>
      </c>
      <c r="G100" s="5"/>
      <c r="I100" s="31"/>
      <c r="J100" s="31"/>
      <c r="K100" s="31"/>
    </row>
    <row r="101" spans="1:11" s="6" customFormat="1" ht="20.100000000000001" customHeight="1" x14ac:dyDescent="0.2">
      <c r="A101" s="62"/>
      <c r="B101" s="63"/>
      <c r="C101" s="51"/>
      <c r="D101" s="42" t="s">
        <v>174</v>
      </c>
      <c r="E101" s="41"/>
      <c r="F101" s="51">
        <f>ROUND(F100*0.075,0)</f>
        <v>536625</v>
      </c>
      <c r="I101" s="31"/>
      <c r="J101" s="31"/>
      <c r="K101" s="31"/>
    </row>
    <row r="102" spans="1:11" s="6" customFormat="1" ht="20.100000000000001" customHeight="1" thickBot="1" x14ac:dyDescent="0.3">
      <c r="A102" s="88"/>
      <c r="B102" s="57"/>
      <c r="C102" s="81">
        <f>+F102</f>
        <v>18960425</v>
      </c>
      <c r="D102" s="82"/>
      <c r="E102" s="83"/>
      <c r="F102" s="81">
        <f>SUM(F96:F101)</f>
        <v>18960425</v>
      </c>
      <c r="G102" s="5"/>
      <c r="I102" s="31"/>
      <c r="J102" s="31"/>
      <c r="K102" s="31"/>
    </row>
    <row r="103" spans="1:11" s="6" customFormat="1" ht="20.100000000000001" customHeight="1" thickTop="1" x14ac:dyDescent="0.2">
      <c r="I103" s="31"/>
      <c r="J103" s="31"/>
      <c r="K103" s="31"/>
    </row>
    <row r="104" spans="1:11" s="6" customFormat="1" ht="20.100000000000001" customHeight="1" x14ac:dyDescent="0.2">
      <c r="A104" s="32" t="s">
        <v>299</v>
      </c>
      <c r="I104" s="31"/>
      <c r="J104" s="31"/>
      <c r="K104" s="31"/>
    </row>
    <row r="105" spans="1:11" s="6" customFormat="1" ht="20.100000000000001" customHeight="1" x14ac:dyDescent="0.2">
      <c r="A105" s="32" t="s">
        <v>300</v>
      </c>
      <c r="I105" s="31"/>
      <c r="J105" s="31"/>
      <c r="K105" s="31"/>
    </row>
    <row r="106" spans="1:11" s="6" customFormat="1" ht="20.100000000000001" customHeight="1" x14ac:dyDescent="0.2">
      <c r="I106" s="31"/>
      <c r="J106" s="31"/>
      <c r="K106" s="31"/>
    </row>
    <row r="107" spans="1:11" s="6" customFormat="1" ht="20.100000000000001" customHeight="1" x14ac:dyDescent="0.2">
      <c r="I107" s="31"/>
      <c r="J107" s="31"/>
      <c r="K107" s="31"/>
    </row>
    <row r="108" spans="1:11" s="6" customFormat="1" ht="20.100000000000001" customHeight="1" x14ac:dyDescent="0.2">
      <c r="I108" s="31"/>
      <c r="J108" s="31"/>
      <c r="K108" s="31"/>
    </row>
    <row r="109" spans="1:11" s="6" customFormat="1" ht="20.100000000000001" customHeight="1" x14ac:dyDescent="0.2">
      <c r="I109" s="31"/>
      <c r="J109" s="31"/>
      <c r="K109" s="31"/>
    </row>
    <row r="110" spans="1:11" s="6" customFormat="1" ht="20.100000000000001" customHeight="1" x14ac:dyDescent="0.2">
      <c r="I110" s="31"/>
      <c r="J110" s="31"/>
      <c r="K110" s="31"/>
    </row>
    <row r="111" spans="1:11" s="6" customFormat="1" ht="20.100000000000001" customHeight="1" x14ac:dyDescent="0.2">
      <c r="I111" s="31"/>
      <c r="J111" s="31"/>
      <c r="K111" s="31"/>
    </row>
    <row r="112" spans="1:11" s="6" customFormat="1" ht="20.100000000000001" customHeight="1" x14ac:dyDescent="0.2">
      <c r="I112" s="31"/>
      <c r="J112" s="31"/>
      <c r="K112" s="31"/>
    </row>
    <row r="113" spans="1:11" s="6" customFormat="1" ht="20.100000000000001" customHeight="1" x14ac:dyDescent="0.2">
      <c r="I113" s="31"/>
      <c r="J113" s="31"/>
      <c r="K113" s="31"/>
    </row>
    <row r="114" spans="1:11" s="6" customFormat="1" ht="20.100000000000001" customHeight="1" x14ac:dyDescent="0.2">
      <c r="I114" s="31"/>
      <c r="J114" s="31"/>
      <c r="K114" s="31"/>
    </row>
    <row r="115" spans="1:11" s="6" customFormat="1" ht="20.100000000000001" customHeight="1" x14ac:dyDescent="0.2">
      <c r="I115" s="31"/>
      <c r="J115" s="31"/>
      <c r="K115" s="31"/>
    </row>
    <row r="116" spans="1:11" s="6" customFormat="1" ht="20.100000000000001" customHeight="1" x14ac:dyDescent="0.2">
      <c r="A116" s="32" t="s">
        <v>301</v>
      </c>
      <c r="I116" s="31"/>
      <c r="J116" s="31"/>
      <c r="K116" s="31"/>
    </row>
    <row r="117" spans="1:11" s="6" customFormat="1" ht="20.100000000000001" customHeight="1" x14ac:dyDescent="0.2">
      <c r="I117" s="31"/>
      <c r="J117" s="31"/>
      <c r="K117" s="31"/>
    </row>
    <row r="118" spans="1:11" s="6" customFormat="1" ht="20.100000000000001" customHeight="1" x14ac:dyDescent="0.2">
      <c r="I118" s="31"/>
      <c r="J118" s="31"/>
      <c r="K118" s="31"/>
    </row>
    <row r="119" spans="1:11" s="6" customFormat="1" ht="20.100000000000001" customHeight="1" x14ac:dyDescent="0.2">
      <c r="I119" s="31"/>
      <c r="J119" s="31"/>
      <c r="K119" s="31"/>
    </row>
    <row r="120" spans="1:11" s="6" customFormat="1" ht="20.100000000000001" customHeight="1" x14ac:dyDescent="0.2">
      <c r="I120" s="31"/>
      <c r="J120" s="31"/>
      <c r="K120" s="31"/>
    </row>
    <row r="121" spans="1:11" s="6" customFormat="1" ht="20.100000000000001" customHeight="1" x14ac:dyDescent="0.2">
      <c r="I121" s="31"/>
      <c r="J121" s="31"/>
      <c r="K121" s="31"/>
    </row>
    <row r="122" spans="1:11" s="6" customFormat="1" ht="20.100000000000001" customHeight="1" x14ac:dyDescent="0.2">
      <c r="I122" s="31"/>
      <c r="J122" s="31"/>
      <c r="K122" s="31"/>
    </row>
    <row r="123" spans="1:11" s="6" customFormat="1" ht="20.100000000000001" customHeight="1" x14ac:dyDescent="0.2">
      <c r="I123" s="31"/>
      <c r="J123" s="31"/>
      <c r="K123" s="31"/>
    </row>
    <row r="124" spans="1:11" s="6" customFormat="1" ht="20.100000000000001" customHeight="1" x14ac:dyDescent="0.2">
      <c r="I124" s="31"/>
      <c r="J124" s="31"/>
      <c r="K124" s="31"/>
    </row>
    <row r="125" spans="1:11" s="6" customFormat="1" ht="20.100000000000001" customHeight="1" x14ac:dyDescent="0.2">
      <c r="I125" s="31"/>
      <c r="J125" s="31"/>
      <c r="K125" s="31"/>
    </row>
    <row r="126" spans="1:11" s="6" customFormat="1" ht="20.100000000000001" customHeight="1" x14ac:dyDescent="0.2">
      <c r="I126" s="31"/>
      <c r="J126" s="31"/>
      <c r="K126" s="31"/>
    </row>
    <row r="127" spans="1:11" s="6" customFormat="1" ht="20.100000000000001" customHeight="1" x14ac:dyDescent="0.2">
      <c r="I127" s="31"/>
      <c r="J127" s="31"/>
      <c r="K127" s="31"/>
    </row>
    <row r="128" spans="1:11" s="6" customFormat="1" ht="20.100000000000001" customHeight="1" x14ac:dyDescent="0.2">
      <c r="I128" s="31"/>
      <c r="J128" s="31"/>
      <c r="K128" s="31"/>
    </row>
    <row r="129" spans="9:11" s="6" customFormat="1" ht="20.100000000000001" customHeight="1" x14ac:dyDescent="0.2">
      <c r="I129" s="31"/>
      <c r="J129" s="31"/>
      <c r="K129" s="31"/>
    </row>
    <row r="130" spans="9:11" s="6" customFormat="1" ht="20.100000000000001" customHeight="1" x14ac:dyDescent="0.2">
      <c r="I130" s="31"/>
      <c r="J130" s="31"/>
      <c r="K130" s="31"/>
    </row>
    <row r="131" spans="9:11" s="6" customFormat="1" ht="20.100000000000001" customHeight="1" x14ac:dyDescent="0.2">
      <c r="I131" s="31"/>
      <c r="J131" s="31"/>
      <c r="K131" s="31"/>
    </row>
    <row r="132" spans="9:11" s="6" customFormat="1" ht="20.100000000000001" customHeight="1" x14ac:dyDescent="0.2">
      <c r="I132" s="31"/>
      <c r="J132" s="31"/>
      <c r="K132" s="31"/>
    </row>
    <row r="133" spans="9:11" s="6" customFormat="1" ht="20.100000000000001" customHeight="1" x14ac:dyDescent="0.2">
      <c r="I133" s="31"/>
      <c r="J133" s="31"/>
      <c r="K133" s="31"/>
    </row>
    <row r="134" spans="9:11" s="6" customFormat="1" ht="20.100000000000001" customHeight="1" x14ac:dyDescent="0.2">
      <c r="I134" s="31"/>
      <c r="J134" s="31"/>
      <c r="K134" s="31"/>
    </row>
    <row r="135" spans="9:11" s="6" customFormat="1" ht="20.100000000000001" customHeight="1" x14ac:dyDescent="0.2">
      <c r="I135" s="31"/>
      <c r="J135" s="31"/>
      <c r="K135" s="31"/>
    </row>
    <row r="136" spans="9:11" s="6" customFormat="1" ht="20.100000000000001" customHeight="1" x14ac:dyDescent="0.2">
      <c r="I136" s="31"/>
      <c r="J136" s="31"/>
      <c r="K136" s="31"/>
    </row>
    <row r="137" spans="9:11" s="6" customFormat="1" ht="20.100000000000001" customHeight="1" x14ac:dyDescent="0.2">
      <c r="I137" s="31"/>
      <c r="J137" s="31"/>
      <c r="K137" s="31"/>
    </row>
    <row r="138" spans="9:11" s="6" customFormat="1" ht="20.100000000000001" customHeight="1" x14ac:dyDescent="0.2">
      <c r="I138" s="31"/>
      <c r="J138" s="31"/>
      <c r="K138" s="31"/>
    </row>
    <row r="139" spans="9:11" s="6" customFormat="1" ht="20.100000000000001" customHeight="1" x14ac:dyDescent="0.2">
      <c r="I139" s="31"/>
      <c r="J139" s="31"/>
      <c r="K139" s="31"/>
    </row>
    <row r="140" spans="9:11" s="6" customFormat="1" ht="20.100000000000001" customHeight="1" x14ac:dyDescent="0.2">
      <c r="I140" s="31"/>
      <c r="J140" s="31"/>
      <c r="K140" s="31"/>
    </row>
    <row r="141" spans="9:11" s="6" customFormat="1" ht="20.100000000000001" customHeight="1" x14ac:dyDescent="0.2">
      <c r="I141" s="31"/>
      <c r="J141" s="31"/>
      <c r="K141" s="31"/>
    </row>
    <row r="142" spans="9:11" s="6" customFormat="1" ht="20.100000000000001" customHeight="1" x14ac:dyDescent="0.2">
      <c r="I142" s="31"/>
      <c r="J142" s="31"/>
      <c r="K142" s="31"/>
    </row>
    <row r="143" spans="9:11" s="6" customFormat="1" ht="20.100000000000001" customHeight="1" x14ac:dyDescent="0.2">
      <c r="I143" s="31"/>
      <c r="J143" s="31"/>
      <c r="K143" s="31"/>
    </row>
    <row r="144" spans="9:11" s="6" customFormat="1" ht="20.100000000000001" customHeight="1" x14ac:dyDescent="0.2">
      <c r="I144" s="31"/>
      <c r="J144" s="31"/>
      <c r="K144" s="31"/>
    </row>
  </sheetData>
  <mergeCells count="25">
    <mergeCell ref="A2:F2"/>
    <mergeCell ref="D5:F5"/>
    <mergeCell ref="D14:F14"/>
    <mergeCell ref="H20:I20"/>
    <mergeCell ref="C25:D25"/>
    <mergeCell ref="E25:F25"/>
    <mergeCell ref="A34:F34"/>
    <mergeCell ref="A26:B26"/>
    <mergeCell ref="C26:D26"/>
    <mergeCell ref="E26:F26"/>
    <mergeCell ref="A27:B27"/>
    <mergeCell ref="C27:D27"/>
    <mergeCell ref="E27:F27"/>
    <mergeCell ref="A28:B28"/>
    <mergeCell ref="C28:D28"/>
    <mergeCell ref="E28:F28"/>
    <mergeCell ref="C29:D29"/>
    <mergeCell ref="E29:F29"/>
    <mergeCell ref="A95:F95"/>
    <mergeCell ref="A46:E46"/>
    <mergeCell ref="A52:F52"/>
    <mergeCell ref="A53:F53"/>
    <mergeCell ref="A76:B76"/>
    <mergeCell ref="A85:E85"/>
    <mergeCell ref="A93:F93"/>
  </mergeCells>
  <printOptions horizontalCentered="1"/>
  <pageMargins left="0.19685039370078741" right="0.19685039370078741" top="0.19685039370078741" bottom="0.19685039370078741" header="0" footer="0"/>
  <pageSetup paperSize="9" orientation="portrait" r:id="rId1"/>
  <rowBreaks count="1" manualBreakCount="1">
    <brk id="38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4"/>
  <sheetViews>
    <sheetView topLeftCell="A10" zoomScaleNormal="100" workbookViewId="0">
      <selection activeCell="D4" sqref="D4"/>
    </sheetView>
  </sheetViews>
  <sheetFormatPr defaultColWidth="15.7109375" defaultRowHeight="20.100000000000001" customHeight="1" x14ac:dyDescent="0.2"/>
  <cols>
    <col min="1" max="2" width="15.7109375" style="1" customWidth="1"/>
    <col min="3" max="6" width="15.7109375" style="1"/>
    <col min="7" max="7" width="6.28515625" style="1" customWidth="1"/>
    <col min="8" max="8" width="20.28515625" style="1" customWidth="1"/>
    <col min="9" max="11" width="15.7109375" style="111"/>
    <col min="12" max="16384" width="15.7109375" style="1"/>
  </cols>
  <sheetData>
    <row r="1" spans="1:11" ht="20.100000000000001" customHeight="1" x14ac:dyDescent="0.2">
      <c r="A1" s="130" t="s">
        <v>294</v>
      </c>
      <c r="B1" s="130"/>
      <c r="C1" s="130"/>
      <c r="D1" s="130"/>
      <c r="E1" s="130"/>
    </row>
    <row r="2" spans="1:11" ht="20.100000000000001" customHeight="1" x14ac:dyDescent="0.25">
      <c r="A2" s="553" t="s">
        <v>302</v>
      </c>
      <c r="B2" s="553"/>
      <c r="C2" s="553"/>
      <c r="D2" s="553"/>
      <c r="E2" s="553"/>
      <c r="F2" s="553"/>
    </row>
    <row r="3" spans="1:11" s="6" customFormat="1" ht="18.95" customHeight="1" x14ac:dyDescent="0.25">
      <c r="A3" s="90" t="s">
        <v>1</v>
      </c>
      <c r="B3" s="58"/>
      <c r="C3" s="59"/>
      <c r="D3" s="90" t="s">
        <v>303</v>
      </c>
      <c r="E3" s="91"/>
      <c r="F3" s="92"/>
      <c r="G3" s="113" t="s">
        <v>239</v>
      </c>
      <c r="I3" s="31"/>
      <c r="J3" s="31"/>
      <c r="K3" s="31"/>
    </row>
    <row r="4" spans="1:11" s="6" customFormat="1" ht="18.95" customHeight="1" x14ac:dyDescent="0.2">
      <c r="A4" s="96" t="s">
        <v>2</v>
      </c>
      <c r="B4" s="60"/>
      <c r="C4" s="61"/>
      <c r="D4" s="93">
        <v>31406</v>
      </c>
      <c r="E4" s="94"/>
      <c r="F4" s="95"/>
      <c r="G4" s="2"/>
      <c r="H4" s="6" t="s">
        <v>240</v>
      </c>
      <c r="I4" s="5" t="s">
        <v>242</v>
      </c>
      <c r="J4" s="31">
        <f>+F35</f>
        <v>1000000</v>
      </c>
      <c r="K4" s="31"/>
    </row>
    <row r="5" spans="1:11" s="6" customFormat="1" ht="18.95" customHeight="1" x14ac:dyDescent="0.2">
      <c r="A5" s="106" t="s">
        <v>3</v>
      </c>
      <c r="B5" s="60"/>
      <c r="C5" s="61"/>
      <c r="D5" s="554" t="s">
        <v>293</v>
      </c>
      <c r="E5" s="555"/>
      <c r="F5" s="556"/>
      <c r="H5" s="6" t="s">
        <v>246</v>
      </c>
      <c r="I5" s="31"/>
      <c r="J5" s="110">
        <f>+F36</f>
        <v>50000</v>
      </c>
      <c r="K5" s="31"/>
    </row>
    <row r="6" spans="1:11" s="6" customFormat="1" ht="18.95" customHeight="1" x14ac:dyDescent="0.2">
      <c r="A6" s="96" t="s">
        <v>4</v>
      </c>
      <c r="B6" s="60"/>
      <c r="C6" s="61"/>
      <c r="D6" s="96" t="s">
        <v>305</v>
      </c>
      <c r="E6" s="97"/>
      <c r="F6" s="98"/>
      <c r="I6" s="5" t="s">
        <v>241</v>
      </c>
      <c r="J6" s="31">
        <f>J4-J5</f>
        <v>950000</v>
      </c>
      <c r="K6" s="31"/>
    </row>
    <row r="7" spans="1:11" s="6" customFormat="1" ht="18.95" customHeight="1" x14ac:dyDescent="0.2">
      <c r="A7" s="96" t="s">
        <v>5</v>
      </c>
      <c r="B7" s="60"/>
      <c r="C7" s="61"/>
      <c r="D7" s="96">
        <v>9811116835</v>
      </c>
      <c r="E7" s="97"/>
      <c r="F7" s="98"/>
      <c r="G7" s="3"/>
      <c r="H7" s="6" t="s">
        <v>244</v>
      </c>
      <c r="I7" s="24">
        <f>ROUND(J6*0.3,0)</f>
        <v>285000</v>
      </c>
      <c r="J7" s="31"/>
      <c r="K7" s="31"/>
    </row>
    <row r="8" spans="1:11" s="6" customFormat="1" ht="18.95" customHeight="1" x14ac:dyDescent="0.25">
      <c r="A8" s="96" t="s">
        <v>6</v>
      </c>
      <c r="B8" s="60"/>
      <c r="C8" s="61"/>
      <c r="D8" s="96" t="s">
        <v>183</v>
      </c>
      <c r="E8" s="97"/>
      <c r="F8" s="98"/>
      <c r="H8" s="6" t="s">
        <v>243</v>
      </c>
      <c r="I8" s="26">
        <f>+F37</f>
        <v>250000</v>
      </c>
      <c r="J8" s="110">
        <f>I7+I8</f>
        <v>535000</v>
      </c>
      <c r="K8" s="112">
        <f>J6-J8</f>
        <v>415000</v>
      </c>
    </row>
    <row r="9" spans="1:11" s="6" customFormat="1" ht="18.95" customHeight="1" x14ac:dyDescent="0.25">
      <c r="A9" s="96" t="s">
        <v>10</v>
      </c>
      <c r="B9" s="60"/>
      <c r="C9" s="61"/>
      <c r="D9" s="96" t="s">
        <v>11</v>
      </c>
      <c r="E9" s="97"/>
      <c r="F9" s="98"/>
      <c r="G9" s="113" t="s">
        <v>245</v>
      </c>
      <c r="J9" s="31"/>
      <c r="K9" s="31"/>
    </row>
    <row r="10" spans="1:11" s="6" customFormat="1" ht="18.95" customHeight="1" x14ac:dyDescent="0.25">
      <c r="A10" s="96" t="s">
        <v>12</v>
      </c>
      <c r="B10" s="60"/>
      <c r="C10" s="61"/>
      <c r="D10" s="99" t="s">
        <v>184</v>
      </c>
      <c r="E10" s="100"/>
      <c r="F10" s="101"/>
      <c r="G10" s="119">
        <v>1081</v>
      </c>
      <c r="H10" s="6" t="s">
        <v>247</v>
      </c>
      <c r="I10" s="116">
        <f>+D40</f>
        <v>42370</v>
      </c>
      <c r="J10" s="31">
        <f>+F41</f>
        <v>4120000</v>
      </c>
      <c r="K10" s="31"/>
    </row>
    <row r="11" spans="1:11" s="6" customFormat="1" ht="18.95" customHeight="1" x14ac:dyDescent="0.2">
      <c r="A11" s="96" t="s">
        <v>14</v>
      </c>
      <c r="B11" s="60"/>
      <c r="C11" s="61"/>
      <c r="D11" s="96" t="s">
        <v>177</v>
      </c>
      <c r="E11" s="97"/>
      <c r="F11" s="98"/>
      <c r="G11" s="23"/>
      <c r="H11" s="6" t="s">
        <v>251</v>
      </c>
      <c r="J11" s="31">
        <f>(+F42)*-1</f>
        <v>-40000</v>
      </c>
      <c r="K11" s="31"/>
    </row>
    <row r="12" spans="1:11" s="6" customFormat="1" ht="18.95" customHeight="1" x14ac:dyDescent="0.2">
      <c r="A12" s="96" t="s">
        <v>292</v>
      </c>
      <c r="B12" s="60"/>
      <c r="C12" s="61"/>
      <c r="D12" s="96" t="s">
        <v>231</v>
      </c>
      <c r="E12" s="97"/>
      <c r="F12" s="98"/>
      <c r="G12" s="23">
        <v>161</v>
      </c>
      <c r="H12" s="6" t="s">
        <v>252</v>
      </c>
      <c r="I12" s="116">
        <f>+D43</f>
        <v>32370</v>
      </c>
      <c r="J12" s="110">
        <f>ROUND((F43*G10/G12)*-1,0)</f>
        <v>-671429</v>
      </c>
      <c r="K12" s="31"/>
    </row>
    <row r="13" spans="1:11" s="6" customFormat="1" ht="18.95" customHeight="1" x14ac:dyDescent="0.2">
      <c r="A13" s="126" t="s">
        <v>290</v>
      </c>
      <c r="B13" s="60"/>
      <c r="C13" s="61"/>
      <c r="D13" s="96" t="s">
        <v>19</v>
      </c>
      <c r="E13" s="97"/>
      <c r="F13" s="98"/>
      <c r="G13" s="117"/>
      <c r="I13" s="31"/>
      <c r="J13" s="31">
        <f>SUM(J10:J12)</f>
        <v>3408571</v>
      </c>
      <c r="K13" s="31"/>
    </row>
    <row r="14" spans="1:11" s="6" customFormat="1" ht="30" customHeight="1" x14ac:dyDescent="0.25">
      <c r="A14" s="134" t="s">
        <v>337</v>
      </c>
      <c r="B14" s="60"/>
      <c r="C14" s="61"/>
      <c r="D14" s="539" t="s">
        <v>346</v>
      </c>
      <c r="E14" s="540"/>
      <c r="F14" s="548"/>
      <c r="G14" s="117"/>
      <c r="H14" s="6" t="s">
        <v>253</v>
      </c>
      <c r="I14" s="31"/>
      <c r="J14" s="110">
        <f>+F44</f>
        <v>2400000</v>
      </c>
      <c r="K14" s="112">
        <f>J13-J14</f>
        <v>1008571</v>
      </c>
    </row>
    <row r="15" spans="1:11" s="6" customFormat="1" ht="18.95" customHeight="1" x14ac:dyDescent="0.25">
      <c r="A15" s="102" t="s">
        <v>22</v>
      </c>
      <c r="B15" s="63"/>
      <c r="C15" s="64"/>
      <c r="D15" s="102" t="s">
        <v>185</v>
      </c>
      <c r="E15" s="103"/>
      <c r="F15" s="104"/>
      <c r="G15" s="113" t="s">
        <v>254</v>
      </c>
      <c r="I15" s="31"/>
      <c r="J15" s="31"/>
      <c r="K15" s="31"/>
    </row>
    <row r="16" spans="1:11" s="6" customFormat="1" ht="20.100000000000001" customHeight="1" x14ac:dyDescent="0.2">
      <c r="A16" s="32" t="s">
        <v>234</v>
      </c>
      <c r="H16" s="6" t="s">
        <v>335</v>
      </c>
      <c r="I16" s="31"/>
      <c r="J16" s="31"/>
      <c r="K16" s="31"/>
    </row>
    <row r="17" spans="1:11" s="6" customFormat="1" ht="20.100000000000001" customHeight="1" x14ac:dyDescent="0.25">
      <c r="A17" s="43" t="s">
        <v>25</v>
      </c>
      <c r="B17" s="40"/>
      <c r="C17" s="41"/>
      <c r="D17" s="129" t="s">
        <v>178</v>
      </c>
      <c r="E17" s="129" t="s">
        <v>306</v>
      </c>
      <c r="F17" s="129" t="s">
        <v>308</v>
      </c>
      <c r="H17" s="6" t="s">
        <v>255</v>
      </c>
      <c r="I17" s="31"/>
      <c r="J17" s="31"/>
      <c r="K17" s="112">
        <f>+F47</f>
        <v>12500</v>
      </c>
    </row>
    <row r="18" spans="1:11" s="6" customFormat="1" ht="20.100000000000001" customHeight="1" x14ac:dyDescent="0.25">
      <c r="A18" s="43" t="s">
        <v>29</v>
      </c>
      <c r="B18" s="40"/>
      <c r="C18" s="41"/>
      <c r="D18" s="35">
        <f>+D4</f>
        <v>31406</v>
      </c>
      <c r="E18" s="35">
        <f>+D18</f>
        <v>31406</v>
      </c>
      <c r="F18" s="35">
        <f>+D18</f>
        <v>31406</v>
      </c>
      <c r="G18" s="113" t="s">
        <v>257</v>
      </c>
      <c r="I18" s="31"/>
      <c r="J18" s="31"/>
      <c r="K18" s="31"/>
    </row>
    <row r="19" spans="1:11" s="6" customFormat="1" ht="20.100000000000001" customHeight="1" x14ac:dyDescent="0.2">
      <c r="A19" s="43" t="s">
        <v>31</v>
      </c>
      <c r="B19" s="40"/>
      <c r="C19" s="41"/>
      <c r="D19" s="36">
        <v>0.4</v>
      </c>
      <c r="E19" s="37">
        <f>(1-D19)/2</f>
        <v>0.3</v>
      </c>
      <c r="F19" s="37">
        <f>+E19</f>
        <v>0.3</v>
      </c>
      <c r="G19" s="4"/>
      <c r="H19" s="6" t="s">
        <v>278</v>
      </c>
      <c r="I19" s="31"/>
      <c r="J19" s="31">
        <f>+I31</f>
        <v>2451625</v>
      </c>
      <c r="K19" s="31"/>
    </row>
    <row r="20" spans="1:11" s="6" customFormat="1" ht="55.5" customHeight="1" x14ac:dyDescent="0.25">
      <c r="A20" s="107" t="s">
        <v>235</v>
      </c>
      <c r="B20" s="40"/>
      <c r="C20" s="41"/>
      <c r="D20" s="38" t="s">
        <v>187</v>
      </c>
      <c r="E20" s="38" t="s">
        <v>186</v>
      </c>
      <c r="F20" s="38" t="s">
        <v>188</v>
      </c>
      <c r="H20" s="557" t="s">
        <v>279</v>
      </c>
      <c r="I20" s="557"/>
      <c r="J20" s="110">
        <f>+I35</f>
        <v>1560975</v>
      </c>
      <c r="K20" s="112">
        <f>J19-J20</f>
        <v>890650</v>
      </c>
    </row>
    <row r="21" spans="1:11" s="6" customFormat="1" ht="20.100000000000001" customHeight="1" x14ac:dyDescent="0.2">
      <c r="A21" s="43" t="s">
        <v>4</v>
      </c>
      <c r="B21" s="40"/>
      <c r="C21" s="41"/>
      <c r="D21" s="129" t="s">
        <v>180</v>
      </c>
      <c r="E21" s="129" t="s">
        <v>307</v>
      </c>
      <c r="F21" s="129" t="s">
        <v>309</v>
      </c>
      <c r="H21" s="6" t="s">
        <v>272</v>
      </c>
      <c r="I21" s="31">
        <f>+C78</f>
        <v>440170</v>
      </c>
      <c r="J21" s="31"/>
      <c r="K21" s="31"/>
    </row>
    <row r="22" spans="1:11" s="6" customFormat="1" ht="20.100000000000001" customHeight="1" x14ac:dyDescent="0.2">
      <c r="A22" s="96" t="s">
        <v>39</v>
      </c>
      <c r="B22" s="60"/>
      <c r="C22" s="60"/>
      <c r="D22" s="60" t="str">
        <f>+D17</f>
        <v xml:space="preserve">Mohd Sajid </v>
      </c>
      <c r="E22" s="60"/>
      <c r="F22" s="61"/>
      <c r="H22" s="6" t="s">
        <v>224</v>
      </c>
      <c r="I22" s="31">
        <f>+F81+F84</f>
        <v>119000</v>
      </c>
      <c r="J22" s="31"/>
      <c r="K22" s="31"/>
    </row>
    <row r="23" spans="1:11" s="6" customFormat="1" ht="20.100000000000001" customHeight="1" x14ac:dyDescent="0.2">
      <c r="A23" s="102" t="s">
        <v>237</v>
      </c>
      <c r="B23" s="63"/>
      <c r="C23" s="63"/>
      <c r="D23" s="63" t="s">
        <v>236</v>
      </c>
      <c r="E23" s="63"/>
      <c r="F23" s="64"/>
      <c r="G23" s="23" t="s">
        <v>226</v>
      </c>
      <c r="H23" s="6" t="s">
        <v>225</v>
      </c>
      <c r="I23" s="31">
        <f>F82*-1</f>
        <v>-14000</v>
      </c>
      <c r="J23" s="31"/>
      <c r="K23" s="31"/>
    </row>
    <row r="24" spans="1:11" s="6" customFormat="1" ht="20.100000000000001" customHeight="1" x14ac:dyDescent="0.2">
      <c r="A24" s="32" t="s">
        <v>197</v>
      </c>
      <c r="D24" s="34"/>
      <c r="E24" s="34" t="s">
        <v>238</v>
      </c>
      <c r="G24" s="6" t="s">
        <v>269</v>
      </c>
      <c r="H24" s="6" t="s">
        <v>258</v>
      </c>
      <c r="I24" s="31">
        <f>F85*-1</f>
        <v>-25000</v>
      </c>
      <c r="J24" s="31"/>
      <c r="K24" s="31"/>
    </row>
    <row r="25" spans="1:11" s="6" customFormat="1" ht="20.100000000000001" customHeight="1" x14ac:dyDescent="0.2">
      <c r="A25" s="127" t="s">
        <v>43</v>
      </c>
      <c r="B25" s="45"/>
      <c r="C25" s="558" t="s">
        <v>45</v>
      </c>
      <c r="D25" s="558"/>
      <c r="E25" s="558" t="s">
        <v>227</v>
      </c>
      <c r="F25" s="558"/>
      <c r="G25" s="34"/>
      <c r="H25" s="6" t="s">
        <v>259</v>
      </c>
      <c r="I25" s="31">
        <f>+C74</f>
        <v>301455</v>
      </c>
      <c r="J25" s="31"/>
      <c r="K25" s="31"/>
    </row>
    <row r="26" spans="1:11" s="6" customFormat="1" ht="20.100000000000001" customHeight="1" x14ac:dyDescent="0.2">
      <c r="A26" s="549" t="s">
        <v>47</v>
      </c>
      <c r="B26" s="550"/>
      <c r="C26" s="551">
        <v>25478962525</v>
      </c>
      <c r="D26" s="551"/>
      <c r="E26" s="551">
        <v>3156845659</v>
      </c>
      <c r="F26" s="551"/>
      <c r="G26" s="34"/>
      <c r="H26" s="6" t="s">
        <v>260</v>
      </c>
      <c r="I26" s="31">
        <f>(+I91+J91)*-1</f>
        <v>-330000</v>
      </c>
      <c r="J26" s="31"/>
      <c r="K26" s="31"/>
    </row>
    <row r="27" spans="1:11" s="6" customFormat="1" ht="20.100000000000001" customHeight="1" x14ac:dyDescent="0.2">
      <c r="A27" s="549" t="s">
        <v>48</v>
      </c>
      <c r="B27" s="550"/>
      <c r="C27" s="551" t="s">
        <v>211</v>
      </c>
      <c r="D27" s="551"/>
      <c r="E27" s="551" t="s">
        <v>310</v>
      </c>
      <c r="F27" s="551"/>
      <c r="G27" s="34" t="s">
        <v>271</v>
      </c>
      <c r="H27" s="6" t="s">
        <v>267</v>
      </c>
      <c r="I27" s="121">
        <f>+F48</f>
        <v>80000</v>
      </c>
      <c r="J27" s="31"/>
      <c r="K27" s="31"/>
    </row>
    <row r="28" spans="1:11" s="6" customFormat="1" ht="20.100000000000001" customHeight="1" x14ac:dyDescent="0.2">
      <c r="A28" s="549" t="s">
        <v>51</v>
      </c>
      <c r="B28" s="550"/>
      <c r="C28" s="551" t="s">
        <v>52</v>
      </c>
      <c r="D28" s="551"/>
      <c r="E28" s="551" t="s">
        <v>52</v>
      </c>
      <c r="F28" s="551"/>
      <c r="G28" s="34" t="s">
        <v>270</v>
      </c>
      <c r="H28" s="6" t="s">
        <v>261</v>
      </c>
      <c r="I28" s="110">
        <f>C75-(C97+C98+C99)*0.12</f>
        <v>80000</v>
      </c>
      <c r="J28" s="31"/>
      <c r="K28" s="31"/>
    </row>
    <row r="29" spans="1:11" s="6" customFormat="1" ht="20.100000000000001" customHeight="1" x14ac:dyDescent="0.25">
      <c r="A29" s="46" t="s">
        <v>228</v>
      </c>
      <c r="B29" s="46"/>
      <c r="C29" s="551"/>
      <c r="D29" s="551"/>
      <c r="E29" s="552" t="s">
        <v>182</v>
      </c>
      <c r="F29" s="552"/>
      <c r="H29" s="25" t="s">
        <v>273</v>
      </c>
      <c r="I29" s="112">
        <f>SUM(I21:I28)</f>
        <v>651625</v>
      </c>
      <c r="J29" s="31"/>
      <c r="K29" s="31"/>
    </row>
    <row r="30" spans="1:11" s="6" customFormat="1" ht="20.100000000000001" customHeight="1" x14ac:dyDescent="0.2">
      <c r="A30" s="32" t="s">
        <v>55</v>
      </c>
      <c r="E30" s="29">
        <v>42645</v>
      </c>
      <c r="H30" s="6" t="s">
        <v>275</v>
      </c>
      <c r="I30" s="31">
        <f>+C76</f>
        <v>1800000</v>
      </c>
      <c r="J30" s="31"/>
      <c r="K30" s="31"/>
    </row>
    <row r="31" spans="1:11" s="6" customFormat="1" ht="20.100000000000001" customHeight="1" thickBot="1" x14ac:dyDescent="0.3">
      <c r="A31" s="32" t="s">
        <v>56</v>
      </c>
      <c r="E31" s="34" t="s">
        <v>57</v>
      </c>
      <c r="H31" s="6" t="s">
        <v>274</v>
      </c>
      <c r="I31" s="118">
        <f>I30+I29</f>
        <v>2451625</v>
      </c>
      <c r="J31" s="31"/>
      <c r="K31" s="31"/>
    </row>
    <row r="32" spans="1:11" s="6" customFormat="1" ht="20.100000000000001" customHeight="1" thickTop="1" x14ac:dyDescent="0.25">
      <c r="A32" s="25" t="s">
        <v>198</v>
      </c>
      <c r="D32" s="3"/>
      <c r="H32" s="25" t="s">
        <v>276</v>
      </c>
      <c r="I32" s="31"/>
      <c r="J32" s="31"/>
      <c r="K32" s="31"/>
    </row>
    <row r="33" spans="1:11" s="6" customFormat="1" ht="20.100000000000001" customHeight="1" x14ac:dyDescent="0.25">
      <c r="A33" s="65" t="s">
        <v>59</v>
      </c>
      <c r="B33" s="58"/>
      <c r="C33" s="58"/>
      <c r="D33" s="74"/>
      <c r="E33" s="58"/>
      <c r="F33" s="59"/>
      <c r="H33" s="6" t="s">
        <v>318</v>
      </c>
      <c r="I33" s="31">
        <f>300000*0.9</f>
        <v>270000</v>
      </c>
      <c r="J33" s="31"/>
      <c r="K33" s="31"/>
    </row>
    <row r="34" spans="1:11" s="6" customFormat="1" ht="30" customHeight="1" x14ac:dyDescent="0.2">
      <c r="A34" s="539" t="s">
        <v>291</v>
      </c>
      <c r="B34" s="540"/>
      <c r="C34" s="540"/>
      <c r="D34" s="540"/>
      <c r="E34" s="540"/>
      <c r="F34" s="548"/>
      <c r="H34" s="6" t="s">
        <v>317</v>
      </c>
      <c r="I34" s="31">
        <f>(I31-300000)*0.6</f>
        <v>1290975</v>
      </c>
      <c r="J34" s="31"/>
      <c r="K34" s="31"/>
    </row>
    <row r="35" spans="1:11" s="6" customFormat="1" ht="20.100000000000001" customHeight="1" thickBot="1" x14ac:dyDescent="0.3">
      <c r="A35" s="96" t="s">
        <v>191</v>
      </c>
      <c r="B35" s="75"/>
      <c r="C35" s="75"/>
      <c r="D35" s="75"/>
      <c r="E35" s="75"/>
      <c r="F35" s="70">
        <v>1000000</v>
      </c>
      <c r="H35" s="6" t="s">
        <v>277</v>
      </c>
      <c r="I35" s="118">
        <f>SUM(I33:I34)</f>
        <v>1560975</v>
      </c>
      <c r="J35" s="31"/>
      <c r="K35" s="31"/>
    </row>
    <row r="36" spans="1:11" s="6" customFormat="1" ht="20.100000000000001" customHeight="1" thickTop="1" x14ac:dyDescent="0.2">
      <c r="A36" s="96" t="s">
        <v>192</v>
      </c>
      <c r="B36" s="60"/>
      <c r="C36" s="60"/>
      <c r="D36" s="60"/>
      <c r="E36" s="27"/>
      <c r="F36" s="71">
        <f>ROUND(F35*0.05,0)</f>
        <v>50000</v>
      </c>
      <c r="G36" s="5"/>
      <c r="I36" s="31"/>
      <c r="J36" s="31"/>
      <c r="K36" s="31"/>
    </row>
    <row r="37" spans="1:11" s="6" customFormat="1" ht="20.100000000000001" customHeight="1" x14ac:dyDescent="0.25">
      <c r="A37" s="96" t="s">
        <v>63</v>
      </c>
      <c r="B37" s="60"/>
      <c r="C37" s="60"/>
      <c r="D37" s="60"/>
      <c r="E37" s="69"/>
      <c r="F37" s="71">
        <f>ROUND(F35*0.25,0)</f>
        <v>250000</v>
      </c>
      <c r="G37" s="34"/>
      <c r="H37" s="123" t="s">
        <v>280</v>
      </c>
      <c r="I37" s="122"/>
      <c r="J37" s="122"/>
      <c r="K37" s="112">
        <f>SUM(K3:K36)</f>
        <v>2326721</v>
      </c>
    </row>
    <row r="38" spans="1:11" s="6" customFormat="1" ht="20.100000000000001" customHeight="1" x14ac:dyDescent="0.2">
      <c r="A38" s="102" t="s">
        <v>296</v>
      </c>
      <c r="B38" s="63"/>
      <c r="C38" s="63"/>
      <c r="D38" s="63"/>
      <c r="E38" s="72"/>
      <c r="F38" s="131" t="s">
        <v>297</v>
      </c>
      <c r="G38" s="34"/>
      <c r="H38" s="6" t="s">
        <v>281</v>
      </c>
      <c r="I38" s="31"/>
      <c r="J38" s="31"/>
      <c r="K38" s="31">
        <f>+F48</f>
        <v>80000</v>
      </c>
    </row>
    <row r="39" spans="1:11" s="6" customFormat="1" ht="20.100000000000001" customHeight="1" x14ac:dyDescent="0.25">
      <c r="A39" s="65" t="s">
        <v>204</v>
      </c>
      <c r="B39" s="58"/>
      <c r="C39" s="58"/>
      <c r="D39" s="58"/>
      <c r="E39" s="66"/>
      <c r="F39" s="67"/>
      <c r="G39" s="34"/>
      <c r="H39" s="6" t="s">
        <v>284</v>
      </c>
      <c r="I39" s="31"/>
      <c r="J39" s="31"/>
      <c r="K39" s="31">
        <f>K37-K38</f>
        <v>2246721</v>
      </c>
    </row>
    <row r="40" spans="1:11" s="6" customFormat="1" ht="20.100000000000001" customHeight="1" x14ac:dyDescent="0.2">
      <c r="A40" s="96" t="s">
        <v>248</v>
      </c>
      <c r="B40" s="60"/>
      <c r="C40" s="60"/>
      <c r="D40" s="114">
        <v>42370</v>
      </c>
      <c r="E40" s="69"/>
      <c r="F40" s="70">
        <v>4000000</v>
      </c>
      <c r="G40" s="34"/>
      <c r="H40" s="44" t="s">
        <v>282</v>
      </c>
      <c r="I40" s="28">
        <v>0.3</v>
      </c>
      <c r="J40" s="31">
        <f>ROUND((K39-K14)*0.3,0)</f>
        <v>371445</v>
      </c>
      <c r="K40" s="31"/>
    </row>
    <row r="41" spans="1:11" s="6" customFormat="1" ht="20.100000000000001" customHeight="1" x14ac:dyDescent="0.2">
      <c r="A41" s="96" t="s">
        <v>69</v>
      </c>
      <c r="B41" s="60"/>
      <c r="C41" s="60"/>
      <c r="D41" s="60"/>
      <c r="E41" s="60"/>
      <c r="F41" s="71">
        <f>ROUND(F40*1.03,0)</f>
        <v>4120000</v>
      </c>
      <c r="G41" s="34"/>
      <c r="H41" s="44" t="s">
        <v>283</v>
      </c>
      <c r="I41" s="28">
        <v>0.2</v>
      </c>
      <c r="J41" s="110">
        <f>ROUND(K14*I41,0)</f>
        <v>201714</v>
      </c>
      <c r="K41" s="31"/>
    </row>
    <row r="42" spans="1:11" s="6" customFormat="1" ht="20.100000000000001" customHeight="1" x14ac:dyDescent="0.2">
      <c r="A42" s="96" t="s">
        <v>71</v>
      </c>
      <c r="B42" s="60"/>
      <c r="C42" s="60"/>
      <c r="D42" s="60"/>
      <c r="E42" s="27"/>
      <c r="F42" s="71">
        <f>ROUND(F40*0.01,0)</f>
        <v>40000</v>
      </c>
      <c r="G42" s="5"/>
      <c r="H42" s="44"/>
      <c r="I42" s="31"/>
      <c r="J42" s="31">
        <f>SUM(J40:J41)</f>
        <v>573159</v>
      </c>
      <c r="K42" s="31"/>
    </row>
    <row r="43" spans="1:11" s="6" customFormat="1" ht="20.100000000000001" customHeight="1" x14ac:dyDescent="0.2">
      <c r="A43" s="96" t="s">
        <v>249</v>
      </c>
      <c r="B43" s="60"/>
      <c r="C43" s="60"/>
      <c r="D43" s="68">
        <f>D40-10000</f>
        <v>32370</v>
      </c>
      <c r="E43" s="27"/>
      <c r="F43" s="71">
        <f>ROUND(F40/40,0)</f>
        <v>100000</v>
      </c>
      <c r="G43" s="5"/>
      <c r="H43" s="44" t="s">
        <v>285</v>
      </c>
      <c r="I43" s="28">
        <v>0.03</v>
      </c>
      <c r="J43" s="110">
        <f>ROUND(I43*J42,0)</f>
        <v>17195</v>
      </c>
    </row>
    <row r="44" spans="1:11" s="6" customFormat="1" ht="20.100000000000001" customHeight="1" x14ac:dyDescent="0.25">
      <c r="A44" s="102" t="s">
        <v>250</v>
      </c>
      <c r="B44" s="63"/>
      <c r="C44" s="63"/>
      <c r="D44" s="115">
        <f>D40+125</f>
        <v>42495</v>
      </c>
      <c r="E44" s="72"/>
      <c r="F44" s="73">
        <f>ROUND(F40*0.6,0)</f>
        <v>2400000</v>
      </c>
      <c r="G44" s="34"/>
      <c r="H44" s="6" t="s">
        <v>286</v>
      </c>
      <c r="I44" s="28"/>
      <c r="K44" s="125">
        <f>J42+J43</f>
        <v>590354</v>
      </c>
    </row>
    <row r="45" spans="1:11" s="6" customFormat="1" ht="20.100000000000001" customHeight="1" x14ac:dyDescent="0.25">
      <c r="A45" s="65" t="s">
        <v>79</v>
      </c>
      <c r="B45" s="58"/>
      <c r="C45" s="58"/>
      <c r="D45" s="60"/>
      <c r="E45" s="60"/>
      <c r="F45" s="67"/>
      <c r="H45" s="6" t="s">
        <v>287</v>
      </c>
      <c r="J45" s="31">
        <f>ROUND(J4*0.1,0)</f>
        <v>100000</v>
      </c>
      <c r="K45" s="31"/>
    </row>
    <row r="46" spans="1:11" s="6" customFormat="1" ht="20.25" customHeight="1" x14ac:dyDescent="0.2">
      <c r="A46" s="539" t="s">
        <v>311</v>
      </c>
      <c r="B46" s="540"/>
      <c r="C46" s="540"/>
      <c r="D46" s="540"/>
      <c r="E46" s="540"/>
      <c r="F46" s="70">
        <v>125000</v>
      </c>
      <c r="G46" s="34"/>
      <c r="H46" s="6" t="s">
        <v>288</v>
      </c>
      <c r="J46" s="110">
        <f>F50+F51</f>
        <v>77000</v>
      </c>
      <c r="K46" s="31">
        <f>J45+J46</f>
        <v>177000</v>
      </c>
    </row>
    <row r="47" spans="1:11" s="6" customFormat="1" ht="20.100000000000001" customHeight="1" x14ac:dyDescent="0.25">
      <c r="A47" s="102" t="s">
        <v>189</v>
      </c>
      <c r="B47" s="103"/>
      <c r="C47" s="103"/>
      <c r="D47" s="103"/>
      <c r="E47" s="105"/>
      <c r="F47" s="73">
        <f>ROUND(F46/10,0)</f>
        <v>12500</v>
      </c>
      <c r="G47" s="5"/>
      <c r="H47" s="123" t="s">
        <v>289</v>
      </c>
      <c r="I47" s="31"/>
      <c r="K47" s="124">
        <f>K44-K46</f>
        <v>413354</v>
      </c>
    </row>
    <row r="48" spans="1:11" s="6" customFormat="1" ht="20.100000000000001" customHeight="1" x14ac:dyDescent="0.2">
      <c r="A48" s="6" t="s">
        <v>193</v>
      </c>
      <c r="E48" s="5"/>
      <c r="F48" s="30">
        <v>80000</v>
      </c>
      <c r="G48" s="5"/>
    </row>
    <row r="49" spans="1:11" s="6" customFormat="1" ht="20.100000000000001" customHeight="1" x14ac:dyDescent="0.2">
      <c r="A49" s="6" t="s">
        <v>194</v>
      </c>
      <c r="F49" s="24"/>
      <c r="K49" s="31"/>
    </row>
    <row r="50" spans="1:11" s="6" customFormat="1" ht="20.100000000000001" customHeight="1" x14ac:dyDescent="0.2">
      <c r="A50" s="6" t="s">
        <v>315</v>
      </c>
      <c r="E50" s="5"/>
      <c r="F50" s="24">
        <f>ROUND(F54/400,0)</f>
        <v>35000</v>
      </c>
      <c r="G50" s="5"/>
      <c r="I50" s="31"/>
      <c r="J50" s="31"/>
      <c r="K50" s="31"/>
    </row>
    <row r="51" spans="1:11" s="6" customFormat="1" ht="20.100000000000001" customHeight="1" x14ac:dyDescent="0.2">
      <c r="A51" s="6" t="s">
        <v>316</v>
      </c>
      <c r="E51" s="5"/>
      <c r="F51" s="24">
        <f>ROUND(F50*1.2,0)</f>
        <v>42000</v>
      </c>
      <c r="G51" s="5"/>
      <c r="I51" s="31"/>
      <c r="J51" s="31"/>
      <c r="K51" s="31"/>
    </row>
    <row r="52" spans="1:11" s="6" customFormat="1" ht="18" customHeight="1" x14ac:dyDescent="0.2">
      <c r="A52" s="541" t="s">
        <v>200</v>
      </c>
      <c r="B52" s="542"/>
      <c r="C52" s="542"/>
      <c r="D52" s="542"/>
      <c r="E52" s="542"/>
      <c r="F52" s="543"/>
      <c r="I52" s="31"/>
      <c r="J52" s="31"/>
      <c r="K52" s="31"/>
    </row>
    <row r="53" spans="1:11" s="6" customFormat="1" ht="20.100000000000001" customHeight="1" x14ac:dyDescent="0.25">
      <c r="A53" s="544" t="s">
        <v>232</v>
      </c>
      <c r="B53" s="544"/>
      <c r="C53" s="544"/>
      <c r="D53" s="544"/>
      <c r="E53" s="544"/>
      <c r="F53" s="544"/>
      <c r="G53" s="25"/>
      <c r="H53" s="25"/>
      <c r="I53" s="112"/>
      <c r="J53" s="31"/>
      <c r="K53" s="31"/>
    </row>
    <row r="54" spans="1:11" s="6" customFormat="1" ht="20.100000000000001" customHeight="1" x14ac:dyDescent="0.2">
      <c r="A54" s="47" t="s">
        <v>202</v>
      </c>
      <c r="B54" s="48"/>
      <c r="C54" s="51">
        <f>ROUND(F57*1.1,0)</f>
        <v>1570800</v>
      </c>
      <c r="D54" s="50" t="s">
        <v>199</v>
      </c>
      <c r="E54" s="49"/>
      <c r="F54" s="53">
        <v>14000000</v>
      </c>
      <c r="G54" s="34"/>
      <c r="I54" s="31"/>
      <c r="J54" s="31"/>
      <c r="K54" s="31"/>
    </row>
    <row r="55" spans="1:11" s="6" customFormat="1" ht="20.100000000000001" customHeight="1" x14ac:dyDescent="0.2">
      <c r="A55" s="47" t="s">
        <v>203</v>
      </c>
      <c r="B55" s="48"/>
      <c r="C55" s="51">
        <f>ROUND(F54*0.525,0)</f>
        <v>7350000</v>
      </c>
      <c r="D55" s="50" t="s">
        <v>233</v>
      </c>
      <c r="E55" s="49"/>
      <c r="F55" s="51">
        <f>ROUND(F54*0.01,0)</f>
        <v>140000</v>
      </c>
      <c r="G55" s="34"/>
      <c r="I55" s="31"/>
      <c r="J55" s="31"/>
      <c r="K55" s="31"/>
    </row>
    <row r="56" spans="1:11" s="6" customFormat="1" ht="20.100000000000001" customHeight="1" x14ac:dyDescent="0.2">
      <c r="A56" s="47" t="s">
        <v>98</v>
      </c>
      <c r="B56" s="48"/>
      <c r="C56" s="51">
        <f>ROUND(C55/100,0)+5000</f>
        <v>78500</v>
      </c>
      <c r="D56" s="50" t="s">
        <v>201</v>
      </c>
      <c r="E56" s="85"/>
      <c r="F56" s="51">
        <f>ROUND(F55*1.15,0)</f>
        <v>161000</v>
      </c>
      <c r="G56" s="34"/>
      <c r="I56" s="31">
        <f>SUM(C54:C74)+C77-C74</f>
        <v>12627375</v>
      </c>
      <c r="J56" s="31"/>
      <c r="K56" s="31"/>
    </row>
    <row r="57" spans="1:11" s="6" customFormat="1" ht="20.100000000000001" customHeight="1" x14ac:dyDescent="0.2">
      <c r="A57" s="47" t="s">
        <v>214</v>
      </c>
      <c r="B57" s="48"/>
      <c r="C57" s="51">
        <f>ROUND(C56*1.1,0)</f>
        <v>86350</v>
      </c>
      <c r="D57" s="50" t="s">
        <v>164</v>
      </c>
      <c r="E57" s="85"/>
      <c r="F57" s="51">
        <f>ROUND(F54/10+F55/5,0)</f>
        <v>1428000</v>
      </c>
      <c r="G57" s="34"/>
      <c r="I57" s="31"/>
      <c r="J57" s="31"/>
      <c r="K57" s="31"/>
    </row>
    <row r="58" spans="1:11" s="6" customFormat="1" ht="20.100000000000001" customHeight="1" x14ac:dyDescent="0.2">
      <c r="A58" s="47" t="s">
        <v>102</v>
      </c>
      <c r="B58" s="48"/>
      <c r="C58" s="51">
        <f>ROUND(F56/4,0)</f>
        <v>40250</v>
      </c>
      <c r="D58" s="84"/>
      <c r="E58" s="69"/>
      <c r="F58" s="86"/>
      <c r="G58" s="34"/>
      <c r="I58" s="31"/>
      <c r="J58" s="31"/>
      <c r="K58" s="31"/>
    </row>
    <row r="59" spans="1:11" s="6" customFormat="1" ht="20.100000000000001" customHeight="1" x14ac:dyDescent="0.2">
      <c r="A59" s="47" t="s">
        <v>103</v>
      </c>
      <c r="B59" s="48"/>
      <c r="C59" s="52">
        <f>ROUND(C58/5,0)</f>
        <v>8050</v>
      </c>
      <c r="D59" s="84"/>
      <c r="E59" s="27"/>
      <c r="F59" s="86"/>
      <c r="G59" s="5"/>
      <c r="I59" s="31"/>
      <c r="J59" s="31"/>
      <c r="K59" s="31"/>
    </row>
    <row r="60" spans="1:11" s="6" customFormat="1" ht="20.100000000000001" customHeight="1" x14ac:dyDescent="0.2">
      <c r="A60" s="47" t="s">
        <v>205</v>
      </c>
      <c r="B60" s="48"/>
      <c r="C60" s="51">
        <f>C58+C59</f>
        <v>48300</v>
      </c>
      <c r="D60" s="60"/>
      <c r="E60" s="27"/>
      <c r="F60" s="86"/>
      <c r="G60" s="5"/>
      <c r="I60" s="31"/>
      <c r="J60" s="31"/>
      <c r="K60" s="31"/>
    </row>
    <row r="61" spans="1:11" s="6" customFormat="1" ht="20.100000000000001" customHeight="1" x14ac:dyDescent="0.2">
      <c r="A61" s="47" t="s">
        <v>206</v>
      </c>
      <c r="B61" s="48"/>
      <c r="C61" s="51">
        <f>ROUND(+C58*1.1,0)</f>
        <v>44275</v>
      </c>
      <c r="D61" s="60"/>
      <c r="E61" s="27"/>
      <c r="F61" s="86"/>
      <c r="G61" s="5"/>
      <c r="I61" s="31"/>
      <c r="J61" s="31"/>
      <c r="K61" s="31"/>
    </row>
    <row r="62" spans="1:11" s="6" customFormat="1" ht="20.100000000000001" customHeight="1" x14ac:dyDescent="0.2">
      <c r="A62" s="47" t="s">
        <v>207</v>
      </c>
      <c r="B62" s="48"/>
      <c r="C62" s="51">
        <f>ROUND(+F55/2,0)</f>
        <v>70000</v>
      </c>
      <c r="D62" s="60"/>
      <c r="E62" s="27"/>
      <c r="F62" s="86"/>
      <c r="G62" s="5"/>
      <c r="I62" s="31"/>
      <c r="J62" s="31"/>
      <c r="K62" s="31"/>
    </row>
    <row r="63" spans="1:11" s="6" customFormat="1" ht="20.100000000000001" customHeight="1" x14ac:dyDescent="0.2">
      <c r="A63" s="47" t="s">
        <v>107</v>
      </c>
      <c r="B63" s="48"/>
      <c r="C63" s="51">
        <f>ROUND(F54*0.15,0)</f>
        <v>2100000</v>
      </c>
      <c r="D63" s="60"/>
      <c r="E63" s="69"/>
      <c r="F63" s="86"/>
      <c r="G63" s="34"/>
      <c r="I63" s="31"/>
      <c r="J63" s="31"/>
      <c r="K63" s="31"/>
    </row>
    <row r="64" spans="1:11" s="6" customFormat="1" ht="20.100000000000001" customHeight="1" x14ac:dyDescent="0.2">
      <c r="A64" s="47" t="s">
        <v>109</v>
      </c>
      <c r="B64" s="48"/>
      <c r="C64" s="51">
        <f>ROUND(+C59+2000,0)</f>
        <v>10050</v>
      </c>
      <c r="D64" s="60"/>
      <c r="E64" s="27"/>
      <c r="F64" s="86"/>
      <c r="G64" s="5"/>
      <c r="I64" s="31"/>
      <c r="J64" s="31"/>
      <c r="K64" s="31"/>
    </row>
    <row r="65" spans="1:11" s="6" customFormat="1" ht="20.100000000000001" customHeight="1" x14ac:dyDescent="0.2">
      <c r="A65" s="47" t="s">
        <v>110</v>
      </c>
      <c r="B65" s="48"/>
      <c r="C65" s="51">
        <f>+C62+C60</f>
        <v>118300</v>
      </c>
      <c r="D65" s="60"/>
      <c r="E65" s="27"/>
      <c r="F65" s="86"/>
      <c r="G65" s="5"/>
      <c r="I65" s="31"/>
      <c r="J65" s="31"/>
      <c r="K65" s="31"/>
    </row>
    <row r="66" spans="1:11" s="6" customFormat="1" ht="20.100000000000001" customHeight="1" x14ac:dyDescent="0.2">
      <c r="A66" s="47" t="s">
        <v>111</v>
      </c>
      <c r="B66" s="48"/>
      <c r="C66" s="51">
        <f>ROUND(F54/125,0)</f>
        <v>112000</v>
      </c>
      <c r="D66" s="60"/>
      <c r="E66" s="27"/>
      <c r="F66" s="86"/>
      <c r="G66" s="5"/>
      <c r="I66" s="31"/>
      <c r="J66" s="31"/>
      <c r="K66" s="31"/>
    </row>
    <row r="67" spans="1:11" s="6" customFormat="1" ht="20.100000000000001" customHeight="1" x14ac:dyDescent="0.2">
      <c r="A67" s="47" t="s">
        <v>208</v>
      </c>
      <c r="B67" s="48"/>
      <c r="C67" s="51">
        <f>ROUND(C66*2.25,0)</f>
        <v>252000</v>
      </c>
      <c r="D67" s="60"/>
      <c r="E67" s="69"/>
      <c r="F67" s="86"/>
      <c r="G67" s="34"/>
      <c r="I67" s="31"/>
      <c r="J67" s="31"/>
      <c r="K67" s="31"/>
    </row>
    <row r="68" spans="1:11" s="6" customFormat="1" ht="20.100000000000001" customHeight="1" x14ac:dyDescent="0.2">
      <c r="A68" s="47" t="s">
        <v>114</v>
      </c>
      <c r="B68" s="48"/>
      <c r="C68" s="51">
        <f>ROUND(+C62/2,0)</f>
        <v>35000</v>
      </c>
      <c r="D68" s="60"/>
      <c r="E68" s="27"/>
      <c r="F68" s="86"/>
      <c r="G68" s="5"/>
      <c r="I68" s="31"/>
      <c r="J68" s="31"/>
      <c r="K68" s="31"/>
    </row>
    <row r="69" spans="1:11" s="6" customFormat="1" ht="20.100000000000001" customHeight="1" x14ac:dyDescent="0.2">
      <c r="A69" s="47" t="s">
        <v>209</v>
      </c>
      <c r="B69" s="48"/>
      <c r="C69" s="51">
        <f>C68+C66</f>
        <v>147000</v>
      </c>
      <c r="D69" s="60"/>
      <c r="E69" s="27"/>
      <c r="F69" s="86"/>
      <c r="G69" s="5"/>
      <c r="I69" s="31"/>
      <c r="J69" s="31"/>
      <c r="K69" s="31"/>
    </row>
    <row r="70" spans="1:11" s="6" customFormat="1" ht="20.100000000000001" customHeight="1" x14ac:dyDescent="0.2">
      <c r="A70" s="47" t="s">
        <v>116</v>
      </c>
      <c r="B70" s="48"/>
      <c r="C70" s="51">
        <f>ROUND(F55*0.4,0)</f>
        <v>56000</v>
      </c>
      <c r="D70" s="60"/>
      <c r="E70" s="69"/>
      <c r="F70" s="86"/>
      <c r="G70" s="34"/>
      <c r="I70" s="31"/>
      <c r="J70" s="31"/>
      <c r="K70" s="31"/>
    </row>
    <row r="71" spans="1:11" s="6" customFormat="1" ht="20.100000000000001" customHeight="1" x14ac:dyDescent="0.2">
      <c r="A71" s="47" t="s">
        <v>118</v>
      </c>
      <c r="B71" s="48"/>
      <c r="C71" s="51">
        <f>ROUND(C63*0.015,0)</f>
        <v>31500</v>
      </c>
      <c r="D71" s="60"/>
      <c r="E71" s="27"/>
      <c r="F71" s="86"/>
      <c r="G71" s="5"/>
      <c r="I71" s="31"/>
      <c r="J71" s="31"/>
      <c r="K71" s="31"/>
    </row>
    <row r="72" spans="1:11" s="6" customFormat="1" ht="20.100000000000001" customHeight="1" x14ac:dyDescent="0.2">
      <c r="A72" s="47" t="s">
        <v>119</v>
      </c>
      <c r="B72" s="48"/>
      <c r="C72" s="51">
        <f>ROUND(F54*0.016,0)</f>
        <v>224000</v>
      </c>
      <c r="D72" s="60"/>
      <c r="E72" s="69"/>
      <c r="F72" s="86"/>
      <c r="G72" s="34"/>
      <c r="I72" s="31"/>
      <c r="J72" s="31"/>
      <c r="K72" s="31"/>
    </row>
    <row r="73" spans="1:11" s="6" customFormat="1" ht="20.100000000000001" customHeight="1" x14ac:dyDescent="0.2">
      <c r="A73" s="47" t="s">
        <v>122</v>
      </c>
      <c r="B73" s="48"/>
      <c r="C73" s="51">
        <f>ROUND(F54*0.0015,0)</f>
        <v>21000</v>
      </c>
      <c r="D73" s="60"/>
      <c r="E73" s="27"/>
      <c r="F73" s="86"/>
      <c r="G73" s="5"/>
      <c r="I73" s="31"/>
      <c r="J73" s="31"/>
      <c r="K73" s="31"/>
    </row>
    <row r="74" spans="1:11" s="6" customFormat="1" ht="20.100000000000001" customHeight="1" x14ac:dyDescent="0.2">
      <c r="A74" s="47" t="s">
        <v>123</v>
      </c>
      <c r="B74" s="48"/>
      <c r="C74" s="51">
        <f>ROUND(E92*0.18+F92*0.25,0)</f>
        <v>301455</v>
      </c>
      <c r="D74" s="60"/>
      <c r="E74" s="69"/>
      <c r="F74" s="86"/>
      <c r="G74" s="34"/>
      <c r="I74" s="31"/>
      <c r="J74" s="31"/>
      <c r="K74" s="31"/>
    </row>
    <row r="75" spans="1:11" s="6" customFormat="1" ht="20.100000000000001" customHeight="1" x14ac:dyDescent="0.2">
      <c r="A75" s="47" t="s">
        <v>215</v>
      </c>
      <c r="B75" s="48"/>
      <c r="C75" s="51">
        <f>(C97+C98+C99)*0.14</f>
        <v>560000</v>
      </c>
      <c r="D75" s="60"/>
      <c r="E75" s="69"/>
      <c r="F75" s="86"/>
      <c r="G75" s="34"/>
      <c r="I75" s="31"/>
      <c r="J75" s="31"/>
      <c r="K75" s="31"/>
    </row>
    <row r="76" spans="1:11" s="6" customFormat="1" ht="25.5" customHeight="1" x14ac:dyDescent="0.2">
      <c r="A76" s="545" t="s">
        <v>216</v>
      </c>
      <c r="B76" s="546"/>
      <c r="C76" s="53">
        <f>50000*12*3</f>
        <v>1800000</v>
      </c>
      <c r="D76" s="60"/>
      <c r="E76" s="69"/>
      <c r="F76" s="86"/>
      <c r="G76" s="34"/>
      <c r="I76" s="31"/>
      <c r="J76" s="31"/>
      <c r="K76" s="31"/>
    </row>
    <row r="77" spans="1:11" s="6" customFormat="1" ht="20.100000000000001" customHeight="1" x14ac:dyDescent="0.2">
      <c r="A77" s="47" t="s">
        <v>125</v>
      </c>
      <c r="B77" s="48"/>
      <c r="C77" s="51">
        <f>F81+F84+F48+25000</f>
        <v>224000</v>
      </c>
      <c r="D77" s="60"/>
      <c r="E77" s="69"/>
      <c r="F77" s="86"/>
      <c r="G77" s="34"/>
      <c r="I77" s="31"/>
      <c r="J77" s="31"/>
      <c r="K77" s="31"/>
    </row>
    <row r="78" spans="1:11" s="6" customFormat="1" ht="20.100000000000001" customHeight="1" x14ac:dyDescent="0.2">
      <c r="A78" s="54" t="s">
        <v>126</v>
      </c>
      <c r="B78" s="55"/>
      <c r="C78" s="56">
        <f>F79-SUM(C54:C77)</f>
        <v>440170</v>
      </c>
      <c r="D78" s="60"/>
      <c r="E78" s="133" t="s">
        <v>298</v>
      </c>
      <c r="F78" s="87"/>
      <c r="G78" s="27"/>
      <c r="I78" s="31"/>
      <c r="J78" s="31"/>
      <c r="K78" s="31"/>
    </row>
    <row r="79" spans="1:11" s="6" customFormat="1" ht="20.100000000000001" customHeight="1" thickBot="1" x14ac:dyDescent="0.3">
      <c r="A79" s="88"/>
      <c r="B79" s="57"/>
      <c r="C79" s="81">
        <f>+F79</f>
        <v>15729000</v>
      </c>
      <c r="D79" s="57"/>
      <c r="E79" s="132"/>
      <c r="F79" s="81">
        <f>SUM(F54:F70)</f>
        <v>15729000</v>
      </c>
      <c r="G79" s="27"/>
      <c r="I79" s="31"/>
      <c r="J79" s="31"/>
      <c r="K79" s="31"/>
    </row>
    <row r="80" spans="1:11" s="6" customFormat="1" ht="26.25" customHeight="1" thickTop="1" x14ac:dyDescent="0.25">
      <c r="A80" s="25" t="s">
        <v>134</v>
      </c>
      <c r="I80" s="31"/>
      <c r="J80" s="31"/>
      <c r="K80" s="31"/>
    </row>
    <row r="81" spans="1:11" s="6" customFormat="1" ht="20.100000000000001" customHeight="1" x14ac:dyDescent="0.2">
      <c r="A81" s="32" t="s">
        <v>332</v>
      </c>
      <c r="B81" s="32"/>
      <c r="C81" s="32"/>
      <c r="D81" s="32"/>
      <c r="E81" s="32"/>
      <c r="F81" s="31">
        <f>ROUND(+C73*2,0)</f>
        <v>42000</v>
      </c>
      <c r="I81" s="31"/>
      <c r="J81" s="31"/>
      <c r="K81" s="31"/>
    </row>
    <row r="82" spans="1:11" s="6" customFormat="1" ht="20.100000000000001" customHeight="1" x14ac:dyDescent="0.2">
      <c r="A82" s="32" t="s">
        <v>268</v>
      </c>
      <c r="B82" s="32"/>
      <c r="C82" s="32"/>
      <c r="D82" s="32"/>
      <c r="E82" s="120">
        <f>+D40</f>
        <v>42370</v>
      </c>
      <c r="F82" s="31">
        <f>F55/10</f>
        <v>14000</v>
      </c>
      <c r="I82" s="31"/>
      <c r="J82" s="31"/>
      <c r="K82" s="31"/>
    </row>
    <row r="83" spans="1:11" s="6" customFormat="1" ht="20.100000000000001" customHeight="1" x14ac:dyDescent="0.2">
      <c r="A83" s="32" t="s">
        <v>312</v>
      </c>
      <c r="B83" s="32"/>
      <c r="C83" s="32"/>
      <c r="D83" s="32"/>
      <c r="E83" s="32"/>
      <c r="F83" s="31">
        <f>+C73</f>
        <v>21000</v>
      </c>
      <c r="I83" s="31"/>
      <c r="J83" s="31"/>
      <c r="K83" s="31"/>
    </row>
    <row r="84" spans="1:11" s="6" customFormat="1" ht="20.100000000000001" customHeight="1" x14ac:dyDescent="0.2">
      <c r="A84" s="32" t="s">
        <v>144</v>
      </c>
      <c r="B84" s="32"/>
      <c r="C84" s="32"/>
      <c r="D84" s="32"/>
      <c r="E84" s="32"/>
      <c r="F84" s="31">
        <f>+F50+F51</f>
        <v>77000</v>
      </c>
      <c r="I84" s="31"/>
      <c r="J84" s="31"/>
      <c r="K84" s="31"/>
    </row>
    <row r="85" spans="1:11" s="6" customFormat="1" ht="30.75" customHeight="1" x14ac:dyDescent="0.2">
      <c r="A85" s="547" t="s">
        <v>345</v>
      </c>
      <c r="B85" s="547"/>
      <c r="C85" s="547"/>
      <c r="D85" s="547"/>
      <c r="E85" s="547"/>
      <c r="F85" s="33">
        <v>25000</v>
      </c>
      <c r="I85" s="5"/>
      <c r="J85" s="5"/>
      <c r="K85" s="31"/>
    </row>
    <row r="86" spans="1:11" s="6" customFormat="1" ht="20.100000000000001" customHeight="1" x14ac:dyDescent="0.2">
      <c r="A86" s="32" t="s">
        <v>217</v>
      </c>
      <c r="B86" s="32"/>
      <c r="C86" s="32"/>
      <c r="D86" s="32"/>
      <c r="E86" s="32"/>
      <c r="I86" s="28">
        <v>0.15</v>
      </c>
      <c r="J86" s="28">
        <v>0.6</v>
      </c>
      <c r="K86" s="31"/>
    </row>
    <row r="87" spans="1:11" s="6" customFormat="1" ht="22.5" customHeight="1" x14ac:dyDescent="0.2">
      <c r="A87" s="39"/>
      <c r="B87" s="40"/>
      <c r="C87" s="40"/>
      <c r="D87" s="41"/>
      <c r="E87" s="108" t="s">
        <v>229</v>
      </c>
      <c r="F87" s="109" t="s">
        <v>218</v>
      </c>
      <c r="G87" s="34"/>
      <c r="I87" s="5" t="s">
        <v>262</v>
      </c>
      <c r="J87" s="5" t="s">
        <v>263</v>
      </c>
      <c r="K87" s="31"/>
    </row>
    <row r="88" spans="1:11" s="6" customFormat="1" ht="20.100000000000001" customHeight="1" x14ac:dyDescent="0.2">
      <c r="A88" s="42" t="s">
        <v>219</v>
      </c>
      <c r="B88" s="40"/>
      <c r="C88" s="41"/>
      <c r="D88" s="76">
        <v>42095</v>
      </c>
      <c r="E88" s="77">
        <v>1100000</v>
      </c>
      <c r="F88" s="78">
        <f>ROUND(E88*0.15,0)</f>
        <v>165000</v>
      </c>
      <c r="G88" s="34"/>
      <c r="H88" s="6" t="s">
        <v>264</v>
      </c>
      <c r="I88" s="31">
        <f>(E88+E89-E91)*I86</f>
        <v>188100</v>
      </c>
      <c r="J88" s="31">
        <f>(F88+F89-F91)*J86</f>
        <v>112860</v>
      </c>
      <c r="K88" s="31"/>
    </row>
    <row r="89" spans="1:11" s="6" customFormat="1" ht="20.100000000000001" customHeight="1" x14ac:dyDescent="0.2">
      <c r="A89" s="42" t="s">
        <v>220</v>
      </c>
      <c r="B89" s="40"/>
      <c r="C89" s="41"/>
      <c r="D89" s="79">
        <v>42120</v>
      </c>
      <c r="E89" s="52">
        <f>ROUND(E88*0.2,0)</f>
        <v>220000</v>
      </c>
      <c r="F89" s="52">
        <f>ROUND(F88*0.2,0)</f>
        <v>33000</v>
      </c>
      <c r="G89" s="34"/>
      <c r="H89" s="6" t="s">
        <v>265</v>
      </c>
      <c r="I89" s="31">
        <f>E90*I86/2</f>
        <v>9900</v>
      </c>
      <c r="J89" s="31">
        <f>F90*J86/2</f>
        <v>5940</v>
      </c>
      <c r="K89" s="31"/>
    </row>
    <row r="90" spans="1:11" s="6" customFormat="1" ht="20.100000000000001" customHeight="1" x14ac:dyDescent="0.2">
      <c r="A90" s="42" t="s">
        <v>220</v>
      </c>
      <c r="B90" s="40"/>
      <c r="C90" s="41"/>
      <c r="D90" s="76">
        <f>D89+175</f>
        <v>42295</v>
      </c>
      <c r="E90" s="52">
        <f>ROUND(E89*0.6,0)</f>
        <v>132000</v>
      </c>
      <c r="F90" s="52">
        <f>ROUND(F89*0.6,0)</f>
        <v>19800</v>
      </c>
      <c r="G90" s="34"/>
      <c r="H90" s="6" t="s">
        <v>266</v>
      </c>
      <c r="I90" s="31">
        <f>E90*0.2/2</f>
        <v>13200</v>
      </c>
      <c r="J90" s="31"/>
      <c r="K90" s="31"/>
    </row>
    <row r="91" spans="1:11" s="6" customFormat="1" ht="20.100000000000001" customHeight="1" thickBot="1" x14ac:dyDescent="0.3">
      <c r="A91" s="42" t="s">
        <v>221</v>
      </c>
      <c r="B91" s="40"/>
      <c r="C91" s="41"/>
      <c r="D91" s="76">
        <f>D89+35</f>
        <v>42155</v>
      </c>
      <c r="E91" s="52">
        <f>ROUND(E89*0.3,0)</f>
        <v>66000</v>
      </c>
      <c r="F91" s="52">
        <f>ROUND(F89*0.3,0)</f>
        <v>9900</v>
      </c>
      <c r="G91" s="34"/>
      <c r="I91" s="118">
        <f>SUM(I88:I90)</f>
        <v>211200</v>
      </c>
      <c r="J91" s="118">
        <f>SUM(J88:J90)</f>
        <v>118800</v>
      </c>
      <c r="K91" s="31"/>
    </row>
    <row r="92" spans="1:11" s="6" customFormat="1" ht="20.100000000000001" customHeight="1" thickTop="1" x14ac:dyDescent="0.2">
      <c r="A92" s="42" t="s">
        <v>222</v>
      </c>
      <c r="B92" s="40"/>
      <c r="C92" s="41"/>
      <c r="D92" s="76">
        <v>42460</v>
      </c>
      <c r="E92" s="51">
        <f>E88+E89+E90-E91</f>
        <v>1386000</v>
      </c>
      <c r="F92" s="51">
        <f>F88+F89+F90-F91</f>
        <v>207900</v>
      </c>
      <c r="G92" s="34"/>
      <c r="I92" s="31"/>
      <c r="J92" s="31"/>
      <c r="K92" s="31"/>
    </row>
    <row r="93" spans="1:11" s="6" customFormat="1" ht="33" customHeight="1" x14ac:dyDescent="0.2">
      <c r="A93" s="547" t="s">
        <v>223</v>
      </c>
      <c r="B93" s="547"/>
      <c r="C93" s="547"/>
      <c r="D93" s="547"/>
      <c r="E93" s="547"/>
      <c r="F93" s="547"/>
      <c r="I93" s="31"/>
      <c r="J93" s="31"/>
      <c r="K93" s="31"/>
    </row>
    <row r="94" spans="1:11" s="6" customFormat="1" ht="18.75" customHeight="1" x14ac:dyDescent="0.2">
      <c r="A94" s="128"/>
      <c r="B94" s="128"/>
      <c r="C94" s="128"/>
      <c r="D94" s="128"/>
      <c r="E94" s="128"/>
      <c r="F94" s="128"/>
      <c r="I94" s="31"/>
      <c r="J94" s="31"/>
      <c r="K94" s="31"/>
    </row>
    <row r="95" spans="1:11" s="6" customFormat="1" ht="18" customHeight="1" x14ac:dyDescent="0.2">
      <c r="A95" s="538" t="s">
        <v>230</v>
      </c>
      <c r="B95" s="538"/>
      <c r="C95" s="538"/>
      <c r="D95" s="538"/>
      <c r="E95" s="538"/>
      <c r="F95" s="538"/>
      <c r="I95" s="31"/>
      <c r="J95" s="31"/>
      <c r="K95" s="31"/>
    </row>
    <row r="96" spans="1:11" s="6" customFormat="1" ht="20.100000000000001" customHeight="1" x14ac:dyDescent="0.2">
      <c r="A96" s="42" t="s">
        <v>160</v>
      </c>
      <c r="B96" s="41"/>
      <c r="C96" s="51"/>
      <c r="D96" s="42" t="s">
        <v>164</v>
      </c>
      <c r="E96" s="41"/>
      <c r="F96" s="51">
        <f>+F57</f>
        <v>1428000</v>
      </c>
      <c r="I96" s="31"/>
      <c r="J96" s="31"/>
      <c r="K96" s="31"/>
    </row>
    <row r="97" spans="1:11" s="6" customFormat="1" ht="20.100000000000001" customHeight="1" x14ac:dyDescent="0.2">
      <c r="A97" s="89" t="str">
        <f>+D17</f>
        <v xml:space="preserve">Mohd Sajid </v>
      </c>
      <c r="B97" s="60"/>
      <c r="C97" s="53">
        <v>1600000</v>
      </c>
      <c r="D97" s="42" t="s">
        <v>166</v>
      </c>
      <c r="E97" s="41"/>
      <c r="F97" s="51">
        <f>ROUND((C97+C98+C99)*1.75,0)</f>
        <v>7000000</v>
      </c>
      <c r="G97" s="34"/>
      <c r="I97" s="31"/>
      <c r="J97" s="31"/>
      <c r="K97" s="31"/>
    </row>
    <row r="98" spans="1:11" s="6" customFormat="1" ht="20.100000000000001" customHeight="1" x14ac:dyDescent="0.2">
      <c r="A98" s="89" t="str">
        <f>+E17</f>
        <v>Monika Rani</v>
      </c>
      <c r="B98" s="60"/>
      <c r="C98" s="80">
        <f>C97/D19*E19</f>
        <v>1200000</v>
      </c>
      <c r="D98" s="42" t="s">
        <v>168</v>
      </c>
      <c r="E98" s="41"/>
      <c r="F98" s="51">
        <f>E92+F92</f>
        <v>1593900</v>
      </c>
      <c r="G98" s="34"/>
      <c r="I98" s="31"/>
      <c r="J98" s="31"/>
      <c r="K98" s="31"/>
    </row>
    <row r="99" spans="1:11" s="6" customFormat="1" ht="20.100000000000001" customHeight="1" x14ac:dyDescent="0.2">
      <c r="A99" s="89" t="str">
        <f>+F17</f>
        <v xml:space="preserve">Monu </v>
      </c>
      <c r="B99" s="60"/>
      <c r="C99" s="80">
        <f>C97/D19*F19</f>
        <v>1200000</v>
      </c>
      <c r="D99" s="42" t="s">
        <v>170</v>
      </c>
      <c r="E99" s="41"/>
      <c r="F99" s="51">
        <f>C97+C98</f>
        <v>2800000</v>
      </c>
      <c r="G99" s="34"/>
      <c r="I99" s="31"/>
      <c r="J99" s="31"/>
      <c r="K99" s="31"/>
    </row>
    <row r="100" spans="1:11" s="6" customFormat="1" ht="20.100000000000001" customHeight="1" x14ac:dyDescent="0.2">
      <c r="A100" s="42" t="s">
        <v>176</v>
      </c>
      <c r="B100" s="41"/>
      <c r="C100" s="51">
        <f>C102-C97-C98-C99</f>
        <v>17908875</v>
      </c>
      <c r="D100" s="42" t="s">
        <v>172</v>
      </c>
      <c r="E100" s="41"/>
      <c r="F100" s="51">
        <f>F97+F96+25000</f>
        <v>8453000</v>
      </c>
      <c r="G100" s="5"/>
      <c r="I100" s="31"/>
      <c r="J100" s="31"/>
      <c r="K100" s="31"/>
    </row>
    <row r="101" spans="1:11" s="6" customFormat="1" ht="20.100000000000001" customHeight="1" x14ac:dyDescent="0.2">
      <c r="A101" s="62"/>
      <c r="B101" s="63"/>
      <c r="C101" s="51"/>
      <c r="D101" s="42" t="s">
        <v>174</v>
      </c>
      <c r="E101" s="41"/>
      <c r="F101" s="51">
        <f>ROUND(F100*0.075,0)</f>
        <v>633975</v>
      </c>
      <c r="I101" s="31"/>
      <c r="J101" s="31"/>
      <c r="K101" s="31"/>
    </row>
    <row r="102" spans="1:11" s="6" customFormat="1" ht="20.100000000000001" customHeight="1" thickBot="1" x14ac:dyDescent="0.3">
      <c r="A102" s="88"/>
      <c r="B102" s="57"/>
      <c r="C102" s="81">
        <f>+F102</f>
        <v>21908875</v>
      </c>
      <c r="D102" s="82"/>
      <c r="E102" s="83"/>
      <c r="F102" s="81">
        <f>SUM(F96:F101)</f>
        <v>21908875</v>
      </c>
      <c r="G102" s="5"/>
      <c r="I102" s="31"/>
      <c r="J102" s="31"/>
      <c r="K102" s="31"/>
    </row>
    <row r="103" spans="1:11" s="6" customFormat="1" ht="20.100000000000001" customHeight="1" thickTop="1" x14ac:dyDescent="0.2">
      <c r="I103" s="31"/>
      <c r="J103" s="31"/>
      <c r="K103" s="31"/>
    </row>
    <row r="104" spans="1:11" s="6" customFormat="1" ht="20.100000000000001" customHeight="1" x14ac:dyDescent="0.2">
      <c r="A104" s="32" t="s">
        <v>299</v>
      </c>
      <c r="I104" s="31"/>
      <c r="J104" s="31"/>
      <c r="K104" s="31"/>
    </row>
    <row r="105" spans="1:11" s="6" customFormat="1" ht="20.100000000000001" customHeight="1" x14ac:dyDescent="0.2">
      <c r="A105" s="32" t="s">
        <v>300</v>
      </c>
      <c r="I105" s="31"/>
      <c r="J105" s="31"/>
      <c r="K105" s="31"/>
    </row>
    <row r="106" spans="1:11" s="6" customFormat="1" ht="20.100000000000001" customHeight="1" x14ac:dyDescent="0.2">
      <c r="I106" s="31"/>
      <c r="J106" s="31"/>
      <c r="K106" s="31"/>
    </row>
    <row r="107" spans="1:11" s="6" customFormat="1" ht="20.100000000000001" customHeight="1" x14ac:dyDescent="0.2">
      <c r="I107" s="31"/>
      <c r="J107" s="31"/>
      <c r="K107" s="31"/>
    </row>
    <row r="108" spans="1:11" s="6" customFormat="1" ht="20.100000000000001" customHeight="1" x14ac:dyDescent="0.2">
      <c r="I108" s="31"/>
      <c r="J108" s="31"/>
      <c r="K108" s="31"/>
    </row>
    <row r="109" spans="1:11" s="6" customFormat="1" ht="20.100000000000001" customHeight="1" x14ac:dyDescent="0.2">
      <c r="I109" s="31"/>
      <c r="J109" s="31"/>
      <c r="K109" s="31"/>
    </row>
    <row r="110" spans="1:11" s="6" customFormat="1" ht="20.100000000000001" customHeight="1" x14ac:dyDescent="0.2">
      <c r="I110" s="31"/>
      <c r="J110" s="31"/>
      <c r="K110" s="31"/>
    </row>
    <row r="111" spans="1:11" s="6" customFormat="1" ht="20.100000000000001" customHeight="1" x14ac:dyDescent="0.2">
      <c r="I111" s="31"/>
      <c r="J111" s="31"/>
      <c r="K111" s="31"/>
    </row>
    <row r="112" spans="1:11" s="6" customFormat="1" ht="20.100000000000001" customHeight="1" x14ac:dyDescent="0.2">
      <c r="I112" s="31"/>
      <c r="J112" s="31"/>
      <c r="K112" s="31"/>
    </row>
    <row r="113" spans="1:11" s="6" customFormat="1" ht="20.100000000000001" customHeight="1" x14ac:dyDescent="0.2">
      <c r="I113" s="31"/>
      <c r="J113" s="31"/>
      <c r="K113" s="31"/>
    </row>
    <row r="114" spans="1:11" s="6" customFormat="1" ht="20.100000000000001" customHeight="1" x14ac:dyDescent="0.2">
      <c r="I114" s="31"/>
      <c r="J114" s="31"/>
      <c r="K114" s="31"/>
    </row>
    <row r="115" spans="1:11" s="6" customFormat="1" ht="20.100000000000001" customHeight="1" x14ac:dyDescent="0.2">
      <c r="I115" s="31"/>
      <c r="J115" s="31"/>
      <c r="K115" s="31"/>
    </row>
    <row r="116" spans="1:11" s="6" customFormat="1" ht="20.100000000000001" customHeight="1" x14ac:dyDescent="0.2">
      <c r="A116" s="32" t="s">
        <v>301</v>
      </c>
      <c r="I116" s="31"/>
      <c r="J116" s="31"/>
      <c r="K116" s="31"/>
    </row>
    <row r="117" spans="1:11" s="6" customFormat="1" ht="20.100000000000001" customHeight="1" x14ac:dyDescent="0.2">
      <c r="I117" s="31"/>
      <c r="J117" s="31"/>
      <c r="K117" s="31"/>
    </row>
    <row r="118" spans="1:11" s="6" customFormat="1" ht="20.100000000000001" customHeight="1" x14ac:dyDescent="0.2">
      <c r="I118" s="31"/>
      <c r="J118" s="31"/>
      <c r="K118" s="31"/>
    </row>
    <row r="119" spans="1:11" s="6" customFormat="1" ht="20.100000000000001" customHeight="1" x14ac:dyDescent="0.2">
      <c r="I119" s="31"/>
      <c r="J119" s="31"/>
      <c r="K119" s="31"/>
    </row>
    <row r="120" spans="1:11" s="6" customFormat="1" ht="20.100000000000001" customHeight="1" x14ac:dyDescent="0.2">
      <c r="I120" s="31"/>
      <c r="J120" s="31"/>
      <c r="K120" s="31"/>
    </row>
    <row r="121" spans="1:11" s="6" customFormat="1" ht="20.100000000000001" customHeight="1" x14ac:dyDescent="0.2">
      <c r="I121" s="31"/>
      <c r="J121" s="31"/>
      <c r="K121" s="31"/>
    </row>
    <row r="122" spans="1:11" s="6" customFormat="1" ht="20.100000000000001" customHeight="1" x14ac:dyDescent="0.2">
      <c r="I122" s="31"/>
      <c r="J122" s="31"/>
      <c r="K122" s="31"/>
    </row>
    <row r="123" spans="1:11" s="6" customFormat="1" ht="20.100000000000001" customHeight="1" x14ac:dyDescent="0.2">
      <c r="I123" s="31"/>
      <c r="J123" s="31"/>
      <c r="K123" s="31"/>
    </row>
    <row r="124" spans="1:11" s="6" customFormat="1" ht="20.100000000000001" customHeight="1" x14ac:dyDescent="0.2">
      <c r="I124" s="31"/>
      <c r="J124" s="31"/>
      <c r="K124" s="31"/>
    </row>
    <row r="125" spans="1:11" s="6" customFormat="1" ht="20.100000000000001" customHeight="1" x14ac:dyDescent="0.2">
      <c r="I125" s="31"/>
      <c r="J125" s="31"/>
      <c r="K125" s="31"/>
    </row>
    <row r="126" spans="1:11" s="6" customFormat="1" ht="20.100000000000001" customHeight="1" x14ac:dyDescent="0.2">
      <c r="I126" s="31"/>
      <c r="J126" s="31"/>
      <c r="K126" s="31"/>
    </row>
    <row r="127" spans="1:11" s="6" customFormat="1" ht="20.100000000000001" customHeight="1" x14ac:dyDescent="0.2">
      <c r="I127" s="31"/>
      <c r="J127" s="31"/>
      <c r="K127" s="31"/>
    </row>
    <row r="128" spans="1:11" s="6" customFormat="1" ht="20.100000000000001" customHeight="1" x14ac:dyDescent="0.2">
      <c r="I128" s="31"/>
      <c r="J128" s="31"/>
      <c r="K128" s="31"/>
    </row>
    <row r="129" spans="9:11" s="6" customFormat="1" ht="20.100000000000001" customHeight="1" x14ac:dyDescent="0.2">
      <c r="I129" s="31"/>
      <c r="J129" s="31"/>
      <c r="K129" s="31"/>
    </row>
    <row r="130" spans="9:11" s="6" customFormat="1" ht="20.100000000000001" customHeight="1" x14ac:dyDescent="0.2">
      <c r="I130" s="31"/>
      <c r="J130" s="31"/>
      <c r="K130" s="31"/>
    </row>
    <row r="131" spans="9:11" s="6" customFormat="1" ht="20.100000000000001" customHeight="1" x14ac:dyDescent="0.2">
      <c r="I131" s="31"/>
      <c r="J131" s="31"/>
      <c r="K131" s="31"/>
    </row>
    <row r="132" spans="9:11" s="6" customFormat="1" ht="20.100000000000001" customHeight="1" x14ac:dyDescent="0.2">
      <c r="I132" s="31"/>
      <c r="J132" s="31"/>
      <c r="K132" s="31"/>
    </row>
    <row r="133" spans="9:11" s="6" customFormat="1" ht="20.100000000000001" customHeight="1" x14ac:dyDescent="0.2">
      <c r="I133" s="31"/>
      <c r="J133" s="31"/>
      <c r="K133" s="31"/>
    </row>
    <row r="134" spans="9:11" s="6" customFormat="1" ht="20.100000000000001" customHeight="1" x14ac:dyDescent="0.2">
      <c r="I134" s="31"/>
      <c r="J134" s="31"/>
      <c r="K134" s="31"/>
    </row>
    <row r="135" spans="9:11" s="6" customFormat="1" ht="20.100000000000001" customHeight="1" x14ac:dyDescent="0.2">
      <c r="I135" s="31"/>
      <c r="J135" s="31"/>
      <c r="K135" s="31"/>
    </row>
    <row r="136" spans="9:11" s="6" customFormat="1" ht="20.100000000000001" customHeight="1" x14ac:dyDescent="0.2">
      <c r="I136" s="31"/>
      <c r="J136" s="31"/>
      <c r="K136" s="31"/>
    </row>
    <row r="137" spans="9:11" s="6" customFormat="1" ht="20.100000000000001" customHeight="1" x14ac:dyDescent="0.2">
      <c r="I137" s="31"/>
      <c r="J137" s="31"/>
      <c r="K137" s="31"/>
    </row>
    <row r="138" spans="9:11" s="6" customFormat="1" ht="20.100000000000001" customHeight="1" x14ac:dyDescent="0.2">
      <c r="I138" s="31"/>
      <c r="J138" s="31"/>
      <c r="K138" s="31"/>
    </row>
    <row r="139" spans="9:11" s="6" customFormat="1" ht="20.100000000000001" customHeight="1" x14ac:dyDescent="0.2">
      <c r="I139" s="31"/>
      <c r="J139" s="31"/>
      <c r="K139" s="31"/>
    </row>
    <row r="140" spans="9:11" s="6" customFormat="1" ht="20.100000000000001" customHeight="1" x14ac:dyDescent="0.2">
      <c r="I140" s="31"/>
      <c r="J140" s="31"/>
      <c r="K140" s="31"/>
    </row>
    <row r="141" spans="9:11" s="6" customFormat="1" ht="20.100000000000001" customHeight="1" x14ac:dyDescent="0.2">
      <c r="I141" s="31"/>
      <c r="J141" s="31"/>
      <c r="K141" s="31"/>
    </row>
    <row r="142" spans="9:11" s="6" customFormat="1" ht="20.100000000000001" customHeight="1" x14ac:dyDescent="0.2">
      <c r="I142" s="31"/>
      <c r="J142" s="31"/>
      <c r="K142" s="31"/>
    </row>
    <row r="143" spans="9:11" s="6" customFormat="1" ht="20.100000000000001" customHeight="1" x14ac:dyDescent="0.2">
      <c r="I143" s="31"/>
      <c r="J143" s="31"/>
      <c r="K143" s="31"/>
    </row>
    <row r="144" spans="9:11" s="6" customFormat="1" ht="20.100000000000001" customHeight="1" x14ac:dyDescent="0.2">
      <c r="I144" s="31"/>
      <c r="J144" s="31"/>
      <c r="K144" s="31"/>
    </row>
  </sheetData>
  <mergeCells count="25">
    <mergeCell ref="A2:F2"/>
    <mergeCell ref="D5:F5"/>
    <mergeCell ref="D14:F14"/>
    <mergeCell ref="H20:I20"/>
    <mergeCell ref="C25:D25"/>
    <mergeCell ref="E25:F25"/>
    <mergeCell ref="A34:F34"/>
    <mergeCell ref="A26:B26"/>
    <mergeCell ref="C26:D26"/>
    <mergeCell ref="E26:F26"/>
    <mergeCell ref="A27:B27"/>
    <mergeCell ref="C27:D27"/>
    <mergeCell ref="E27:F27"/>
    <mergeCell ref="A28:B28"/>
    <mergeCell ref="C28:D28"/>
    <mergeCell ref="E28:F28"/>
    <mergeCell ref="C29:D29"/>
    <mergeCell ref="E29:F29"/>
    <mergeCell ref="A95:F95"/>
    <mergeCell ref="A46:E46"/>
    <mergeCell ref="A52:F52"/>
    <mergeCell ref="A53:F53"/>
    <mergeCell ref="A76:B76"/>
    <mergeCell ref="A85:E85"/>
    <mergeCell ref="A93:F93"/>
  </mergeCells>
  <printOptions horizontalCentered="1"/>
  <pageMargins left="0.19685039370078741" right="0.19685039370078741" top="0.19685039370078741" bottom="0.19685039370078741" header="0" footer="0"/>
  <pageSetup paperSize="9" orientation="portrait" r:id="rId1"/>
  <rowBreaks count="1" manualBreakCount="1">
    <brk id="38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42"/>
  <sheetViews>
    <sheetView topLeftCell="A52" zoomScale="120" zoomScaleNormal="120" workbookViewId="0">
      <selection activeCell="G10" sqref="G10"/>
    </sheetView>
  </sheetViews>
  <sheetFormatPr defaultColWidth="15.7109375" defaultRowHeight="20.100000000000001" customHeight="1" x14ac:dyDescent="0.2"/>
  <cols>
    <col min="1" max="1" width="3" style="1" customWidth="1"/>
    <col min="2" max="3" width="15.7109375" style="1" customWidth="1"/>
    <col min="4" max="4" width="17.42578125" style="1" customWidth="1"/>
    <col min="5" max="5" width="15.7109375" style="1"/>
    <col min="6" max="6" width="16.42578125" style="1" customWidth="1"/>
    <col min="7" max="7" width="14.5703125" style="1" customWidth="1"/>
    <col min="8" max="8" width="2.42578125" style="1" customWidth="1"/>
    <col min="9" max="9" width="9.85546875" style="1" customWidth="1"/>
    <col min="10" max="10" width="24.85546875" style="1" customWidth="1"/>
    <col min="11" max="11" width="15.7109375" style="111"/>
    <col min="12" max="12" width="16.5703125" style="111" customWidth="1"/>
    <col min="13" max="13" width="15.7109375" style="111"/>
    <col min="14" max="16384" width="15.7109375" style="1"/>
  </cols>
  <sheetData>
    <row r="1" spans="2:14" ht="18" customHeight="1" x14ac:dyDescent="0.2">
      <c r="B1" s="567" t="s">
        <v>474</v>
      </c>
      <c r="C1" s="567"/>
      <c r="D1" s="567"/>
      <c r="E1" s="567"/>
      <c r="F1" s="567"/>
      <c r="G1" s="567"/>
      <c r="H1" s="248"/>
    </row>
    <row r="2" spans="2:14" ht="16.5" customHeight="1" x14ac:dyDescent="0.2">
      <c r="B2" s="568" t="s">
        <v>476</v>
      </c>
      <c r="C2" s="568"/>
      <c r="D2" s="568"/>
      <c r="E2" s="568"/>
      <c r="F2" s="568"/>
      <c r="G2" s="568"/>
      <c r="H2" s="249"/>
      <c r="I2" s="566" t="s">
        <v>484</v>
      </c>
      <c r="J2" s="566"/>
      <c r="K2" s="566"/>
      <c r="L2" s="566"/>
      <c r="M2" s="566"/>
      <c r="N2" s="249"/>
    </row>
    <row r="3" spans="2:14" ht="20.100000000000001" customHeight="1" x14ac:dyDescent="0.25">
      <c r="B3" s="553" t="s">
        <v>475</v>
      </c>
      <c r="C3" s="553"/>
      <c r="D3" s="553"/>
      <c r="E3" s="553"/>
      <c r="F3" s="553"/>
      <c r="G3" s="553"/>
      <c r="H3" s="247"/>
    </row>
    <row r="4" spans="2:14" s="6" customFormat="1" ht="18.95" customHeight="1" x14ac:dyDescent="0.25">
      <c r="B4" s="90" t="s">
        <v>1</v>
      </c>
      <c r="C4" s="58"/>
      <c r="D4" s="59"/>
      <c r="E4" s="90" t="s">
        <v>382</v>
      </c>
      <c r="F4" s="91"/>
      <c r="G4" s="92"/>
      <c r="H4" s="97"/>
      <c r="I4" s="113" t="s">
        <v>239</v>
      </c>
      <c r="K4" s="31"/>
      <c r="L4" s="31"/>
      <c r="M4" s="31"/>
    </row>
    <row r="5" spans="2:14" s="6" customFormat="1" ht="18.95" customHeight="1" x14ac:dyDescent="0.2">
      <c r="B5" s="96" t="s">
        <v>491</v>
      </c>
      <c r="C5" s="60"/>
      <c r="D5" s="61"/>
      <c r="E5" s="93">
        <v>31735</v>
      </c>
      <c r="F5" s="94"/>
      <c r="G5" s="95"/>
      <c r="H5" s="94"/>
      <c r="I5" s="2"/>
      <c r="J5" s="6" t="s">
        <v>240</v>
      </c>
      <c r="K5" s="5" t="s">
        <v>242</v>
      </c>
      <c r="L5" s="316">
        <f>+G36</f>
        <v>1800000</v>
      </c>
      <c r="M5" s="316"/>
    </row>
    <row r="6" spans="2:14" s="6" customFormat="1" ht="24.75" customHeight="1" x14ac:dyDescent="0.2">
      <c r="B6" s="106" t="s">
        <v>3</v>
      </c>
      <c r="C6" s="60"/>
      <c r="D6" s="61"/>
      <c r="E6" s="569" t="s">
        <v>517</v>
      </c>
      <c r="F6" s="570"/>
      <c r="G6" s="571"/>
      <c r="H6" s="250"/>
      <c r="J6" s="6" t="s">
        <v>246</v>
      </c>
      <c r="K6" s="31"/>
      <c r="L6" s="327">
        <f>+G37</f>
        <v>90000</v>
      </c>
      <c r="M6" s="316"/>
    </row>
    <row r="7" spans="2:14" s="6" customFormat="1" ht="18.95" customHeight="1" x14ac:dyDescent="0.2">
      <c r="B7" s="96" t="s">
        <v>492</v>
      </c>
      <c r="C7" s="60"/>
      <c r="D7" s="61"/>
      <c r="E7" s="96" t="s">
        <v>406</v>
      </c>
      <c r="F7" s="97"/>
      <c r="G7" s="98"/>
      <c r="H7" s="97"/>
      <c r="K7" s="5" t="s">
        <v>241</v>
      </c>
      <c r="L7" s="316">
        <f>L5-L6</f>
        <v>1710000</v>
      </c>
      <c r="M7" s="316"/>
    </row>
    <row r="8" spans="2:14" s="6" customFormat="1" ht="18.95" customHeight="1" x14ac:dyDescent="0.2">
      <c r="B8" s="96" t="s">
        <v>5</v>
      </c>
      <c r="C8" s="60"/>
      <c r="D8" s="61"/>
      <c r="E8" s="96">
        <v>9811116835</v>
      </c>
      <c r="F8" s="97"/>
      <c r="G8" s="98"/>
      <c r="H8" s="97"/>
      <c r="I8" s="3"/>
      <c r="J8" s="6" t="s">
        <v>244</v>
      </c>
      <c r="K8" s="24">
        <f>ROUND(L7*0.3,0)</f>
        <v>513000</v>
      </c>
      <c r="L8" s="316"/>
      <c r="M8" s="316"/>
    </row>
    <row r="9" spans="2:14" s="6" customFormat="1" ht="18.95" customHeight="1" x14ac:dyDescent="0.25">
      <c r="B9" s="96" t="s">
        <v>6</v>
      </c>
      <c r="C9" s="60"/>
      <c r="D9" s="61"/>
      <c r="E9" s="96" t="s">
        <v>183</v>
      </c>
      <c r="F9" s="97"/>
      <c r="G9" s="98"/>
      <c r="H9" s="97"/>
      <c r="J9" s="6" t="s">
        <v>243</v>
      </c>
      <c r="K9" s="26">
        <f>+G38</f>
        <v>450000</v>
      </c>
      <c r="L9" s="327">
        <f>K8+K9</f>
        <v>963000</v>
      </c>
      <c r="M9" s="328">
        <f>L7-L9</f>
        <v>747000</v>
      </c>
    </row>
    <row r="10" spans="2:14" s="6" customFormat="1" ht="18.95" customHeight="1" x14ac:dyDescent="0.25">
      <c r="B10" s="96" t="s">
        <v>10</v>
      </c>
      <c r="C10" s="60"/>
      <c r="D10" s="61"/>
      <c r="E10" s="96" t="s">
        <v>11</v>
      </c>
      <c r="F10" s="97"/>
      <c r="G10" s="98"/>
      <c r="H10" s="97"/>
      <c r="I10" s="113" t="s">
        <v>245</v>
      </c>
      <c r="L10" s="316"/>
      <c r="M10" s="316"/>
    </row>
    <row r="11" spans="2:14" s="6" customFormat="1" ht="18.95" customHeight="1" x14ac:dyDescent="0.2">
      <c r="B11" s="96" t="s">
        <v>12</v>
      </c>
      <c r="C11" s="60"/>
      <c r="D11" s="61"/>
      <c r="E11" s="241" t="s">
        <v>184</v>
      </c>
      <c r="F11" s="100"/>
      <c r="G11" s="101"/>
      <c r="H11" s="100"/>
      <c r="I11" s="135">
        <v>280</v>
      </c>
      <c r="J11" s="6" t="s">
        <v>247</v>
      </c>
      <c r="K11" s="240">
        <f>+F41</f>
        <v>43404</v>
      </c>
      <c r="L11" s="316">
        <f>+G41</f>
        <v>6000000</v>
      </c>
      <c r="M11" s="316"/>
    </row>
    <row r="12" spans="2:14" s="6" customFormat="1" ht="18.95" customHeight="1" x14ac:dyDescent="0.2">
      <c r="B12" s="96" t="s">
        <v>14</v>
      </c>
      <c r="C12" s="60"/>
      <c r="D12" s="61"/>
      <c r="E12" s="96" t="s">
        <v>177</v>
      </c>
      <c r="F12" s="97"/>
      <c r="G12" s="98"/>
      <c r="H12" s="97"/>
      <c r="I12" s="136"/>
      <c r="J12" s="6" t="s">
        <v>251</v>
      </c>
      <c r="K12" s="34"/>
      <c r="L12" s="316">
        <f>(+G43)*-1</f>
        <v>-60000</v>
      </c>
      <c r="M12" s="316"/>
    </row>
    <row r="13" spans="2:14" s="6" customFormat="1" ht="18.95" customHeight="1" x14ac:dyDescent="0.2">
      <c r="B13" s="96" t="s">
        <v>292</v>
      </c>
      <c r="C13" s="60"/>
      <c r="D13" s="61"/>
      <c r="E13" s="96" t="s">
        <v>231</v>
      </c>
      <c r="F13" s="97"/>
      <c r="G13" s="98"/>
      <c r="H13" s="97"/>
      <c r="I13" s="136">
        <v>100</v>
      </c>
      <c r="J13" s="6" t="s">
        <v>390</v>
      </c>
      <c r="K13" s="240">
        <v>36982</v>
      </c>
      <c r="L13" s="327">
        <f>ROUND((G45*I11/I13)*-1,0)</f>
        <v>-840000</v>
      </c>
      <c r="M13" s="316"/>
    </row>
    <row r="14" spans="2:14" s="6" customFormat="1" ht="18.95" customHeight="1" x14ac:dyDescent="0.2">
      <c r="B14" s="325" t="s">
        <v>290</v>
      </c>
      <c r="C14" s="60"/>
      <c r="D14" s="61"/>
      <c r="E14" s="96" t="s">
        <v>19</v>
      </c>
      <c r="F14" s="97"/>
      <c r="G14" s="98"/>
      <c r="H14" s="97"/>
      <c r="I14" s="117"/>
      <c r="K14" s="31"/>
      <c r="L14" s="316">
        <f>SUM(L11:L13)</f>
        <v>5100000</v>
      </c>
      <c r="M14" s="316"/>
    </row>
    <row r="15" spans="2:14" s="6" customFormat="1" ht="30" customHeight="1" x14ac:dyDescent="0.25">
      <c r="B15" s="559" t="s">
        <v>493</v>
      </c>
      <c r="C15" s="560"/>
      <c r="D15" s="561"/>
      <c r="E15" s="569" t="s">
        <v>494</v>
      </c>
      <c r="F15" s="570"/>
      <c r="G15" s="571"/>
      <c r="H15" s="245"/>
      <c r="I15" s="117"/>
      <c r="J15" s="6" t="s">
        <v>253</v>
      </c>
      <c r="K15" s="31"/>
      <c r="L15" s="327">
        <f>+G46-400000</f>
        <v>5000000</v>
      </c>
      <c r="M15" s="328">
        <f>L14-L15</f>
        <v>100000</v>
      </c>
    </row>
    <row r="16" spans="2:14" s="6" customFormat="1" ht="18.95" customHeight="1" x14ac:dyDescent="0.25">
      <c r="B16" s="102"/>
      <c r="C16" s="63"/>
      <c r="D16" s="64"/>
      <c r="E16" s="102"/>
      <c r="F16" s="103"/>
      <c r="G16" s="104"/>
      <c r="H16" s="97"/>
      <c r="I16" s="113" t="s">
        <v>254</v>
      </c>
      <c r="K16" s="31"/>
      <c r="L16" s="316"/>
      <c r="M16" s="316"/>
    </row>
    <row r="17" spans="2:13" s="6" customFormat="1" ht="17.25" customHeight="1" x14ac:dyDescent="0.2">
      <c r="B17" s="32" t="s">
        <v>234</v>
      </c>
      <c r="J17" s="6" t="s">
        <v>485</v>
      </c>
      <c r="K17" s="31"/>
      <c r="L17" s="316"/>
      <c r="M17" s="316"/>
    </row>
    <row r="18" spans="2:13" s="6" customFormat="1" ht="20.100000000000001" customHeight="1" x14ac:dyDescent="0.25">
      <c r="B18" s="43" t="s">
        <v>25</v>
      </c>
      <c r="C18" s="40"/>
      <c r="D18" s="41"/>
      <c r="E18" s="236" t="s">
        <v>488</v>
      </c>
      <c r="F18" s="236" t="s">
        <v>477</v>
      </c>
      <c r="G18" s="236" t="s">
        <v>487</v>
      </c>
      <c r="H18" s="69"/>
      <c r="J18" s="6" t="s">
        <v>255</v>
      </c>
      <c r="K18" s="31"/>
      <c r="L18" s="316"/>
      <c r="M18" s="328">
        <f>+G49</f>
        <v>12000</v>
      </c>
    </row>
    <row r="19" spans="2:13" s="6" customFormat="1" ht="20.100000000000001" customHeight="1" x14ac:dyDescent="0.25">
      <c r="B19" s="43" t="s">
        <v>29</v>
      </c>
      <c r="C19" s="40"/>
      <c r="D19" s="41"/>
      <c r="E19" s="35">
        <f>+E5</f>
        <v>31735</v>
      </c>
      <c r="F19" s="35">
        <f>+E19</f>
        <v>31735</v>
      </c>
      <c r="G19" s="35">
        <f>+E19</f>
        <v>31735</v>
      </c>
      <c r="H19" s="240"/>
      <c r="I19" s="113" t="s">
        <v>257</v>
      </c>
      <c r="K19" s="31"/>
      <c r="L19" s="31"/>
      <c r="M19" s="31"/>
    </row>
    <row r="20" spans="2:13" s="6" customFormat="1" ht="20.100000000000001" customHeight="1" x14ac:dyDescent="0.2">
      <c r="B20" s="43" t="s">
        <v>31</v>
      </c>
      <c r="C20" s="40"/>
      <c r="D20" s="41"/>
      <c r="E20" s="36">
        <v>0.5</v>
      </c>
      <c r="F20" s="37">
        <f>(1-E20)/2</f>
        <v>0.25</v>
      </c>
      <c r="G20" s="37">
        <f>+F20</f>
        <v>0.25</v>
      </c>
      <c r="H20" s="255"/>
      <c r="I20" s="4"/>
      <c r="J20" s="6" t="s">
        <v>278</v>
      </c>
      <c r="K20" s="31"/>
      <c r="L20" s="316">
        <f>+K28</f>
        <v>1853600</v>
      </c>
      <c r="M20" s="316"/>
    </row>
    <row r="21" spans="2:13" s="6" customFormat="1" ht="55.5" customHeight="1" x14ac:dyDescent="0.25">
      <c r="B21" s="107" t="s">
        <v>235</v>
      </c>
      <c r="C21" s="40"/>
      <c r="D21" s="41"/>
      <c r="E21" s="38" t="s">
        <v>392</v>
      </c>
      <c r="F21" s="38" t="s">
        <v>497</v>
      </c>
      <c r="G21" s="38" t="s">
        <v>498</v>
      </c>
      <c r="H21" s="256"/>
      <c r="J21" s="557" t="s">
        <v>279</v>
      </c>
      <c r="K21" s="557"/>
      <c r="L21" s="327">
        <v>1080000</v>
      </c>
      <c r="M21" s="328">
        <f>L20-L21</f>
        <v>773600</v>
      </c>
    </row>
    <row r="22" spans="2:13" s="6" customFormat="1" ht="20.100000000000001" customHeight="1" x14ac:dyDescent="0.2">
      <c r="B22" s="43" t="s">
        <v>4</v>
      </c>
      <c r="C22" s="40"/>
      <c r="D22" s="41"/>
      <c r="E22" s="236" t="s">
        <v>495</v>
      </c>
      <c r="F22" s="236" t="s">
        <v>37</v>
      </c>
      <c r="G22" s="236" t="s">
        <v>309</v>
      </c>
      <c r="H22" s="69"/>
      <c r="I22" s="340"/>
      <c r="J22" s="340" t="s">
        <v>272</v>
      </c>
      <c r="K22" s="347">
        <f>+D83</f>
        <v>675140</v>
      </c>
      <c r="L22" s="341"/>
      <c r="M22" s="31"/>
    </row>
    <row r="23" spans="2:13" s="6" customFormat="1" ht="20.100000000000001" customHeight="1" x14ac:dyDescent="0.2">
      <c r="B23" s="96" t="s">
        <v>513</v>
      </c>
      <c r="C23" s="60"/>
      <c r="D23" s="60"/>
      <c r="E23" s="60" t="str">
        <f>+E18</f>
        <v>Shyam Rathore</v>
      </c>
      <c r="F23" s="60"/>
      <c r="G23" s="61"/>
      <c r="H23" s="60"/>
      <c r="I23" s="342" t="s">
        <v>410</v>
      </c>
      <c r="J23" s="340" t="s">
        <v>259</v>
      </c>
      <c r="K23" s="343">
        <f>+D79</f>
        <v>328860</v>
      </c>
      <c r="L23" s="344" t="s">
        <v>426</v>
      </c>
      <c r="M23" s="31"/>
    </row>
    <row r="24" spans="2:13" s="6" customFormat="1" ht="20.100000000000001" customHeight="1" x14ac:dyDescent="0.2">
      <c r="B24" s="102" t="s">
        <v>514</v>
      </c>
      <c r="C24" s="63"/>
      <c r="D24" s="63"/>
      <c r="E24" s="63" t="s">
        <v>515</v>
      </c>
      <c r="F24" s="63"/>
      <c r="G24" s="64"/>
      <c r="H24" s="60"/>
      <c r="I24" s="342" t="s">
        <v>411</v>
      </c>
      <c r="J24" s="340" t="s">
        <v>260</v>
      </c>
      <c r="K24" s="343">
        <f>(+K53+L53)*-1</f>
        <v>-350400</v>
      </c>
      <c r="L24" s="344" t="s">
        <v>427</v>
      </c>
      <c r="M24" s="31"/>
    </row>
    <row r="25" spans="2:13" s="6" customFormat="1" ht="20.100000000000001" customHeight="1" x14ac:dyDescent="0.2">
      <c r="B25" s="32" t="s">
        <v>197</v>
      </c>
      <c r="E25" s="34"/>
      <c r="F25" s="34" t="s">
        <v>238</v>
      </c>
      <c r="I25" s="342" t="s">
        <v>414</v>
      </c>
      <c r="J25" s="340" t="s">
        <v>267</v>
      </c>
      <c r="K25" s="345">
        <f>+G50</f>
        <v>120000</v>
      </c>
      <c r="L25" s="344" t="s">
        <v>416</v>
      </c>
      <c r="M25" s="31"/>
    </row>
    <row r="26" spans="2:13" s="6" customFormat="1" ht="18.95" customHeight="1" x14ac:dyDescent="0.2">
      <c r="B26" s="235" t="s">
        <v>43</v>
      </c>
      <c r="C26" s="45"/>
      <c r="D26" s="558" t="s">
        <v>45</v>
      </c>
      <c r="E26" s="558"/>
      <c r="F26" s="558" t="s">
        <v>227</v>
      </c>
      <c r="G26" s="558"/>
      <c r="H26" s="257"/>
      <c r="I26" s="342"/>
      <c r="J26" s="346" t="s">
        <v>273</v>
      </c>
      <c r="K26" s="347">
        <f>SUM(K22:K25)</f>
        <v>773600</v>
      </c>
      <c r="L26" s="344"/>
      <c r="M26" s="31"/>
    </row>
    <row r="27" spans="2:13" s="6" customFormat="1" ht="18.95" customHeight="1" x14ac:dyDescent="0.2">
      <c r="B27" s="549" t="s">
        <v>47</v>
      </c>
      <c r="C27" s="550"/>
      <c r="D27" s="551">
        <v>25478963254</v>
      </c>
      <c r="E27" s="551"/>
      <c r="F27" s="551">
        <v>32568457824</v>
      </c>
      <c r="G27" s="551"/>
      <c r="H27" s="69"/>
      <c r="I27" s="340"/>
      <c r="J27" s="340" t="s">
        <v>275</v>
      </c>
      <c r="K27" s="343">
        <f>+D81</f>
        <v>1080000</v>
      </c>
      <c r="L27" s="341"/>
      <c r="M27" s="31"/>
    </row>
    <row r="28" spans="2:13" s="6" customFormat="1" ht="18.95" customHeight="1" thickBot="1" x14ac:dyDescent="0.25">
      <c r="B28" s="549" t="s">
        <v>48</v>
      </c>
      <c r="C28" s="550"/>
      <c r="D28" s="551" t="s">
        <v>211</v>
      </c>
      <c r="E28" s="551"/>
      <c r="F28" s="551" t="s">
        <v>212</v>
      </c>
      <c r="G28" s="551"/>
      <c r="H28" s="69"/>
      <c r="I28" s="340"/>
      <c r="J28" s="340" t="s">
        <v>274</v>
      </c>
      <c r="K28" s="348">
        <f>K27+K26</f>
        <v>1853600</v>
      </c>
      <c r="L28" s="341"/>
      <c r="M28" s="31"/>
    </row>
    <row r="29" spans="2:13" s="6" customFormat="1" ht="18.95" customHeight="1" thickTop="1" x14ac:dyDescent="0.2">
      <c r="B29" s="549" t="s">
        <v>51</v>
      </c>
      <c r="C29" s="550"/>
      <c r="D29" s="551" t="s">
        <v>52</v>
      </c>
      <c r="E29" s="551"/>
      <c r="F29" s="551" t="s">
        <v>52</v>
      </c>
      <c r="G29" s="551"/>
      <c r="H29" s="69"/>
      <c r="I29" s="340"/>
      <c r="J29" s="346" t="s">
        <v>276</v>
      </c>
      <c r="K29" s="343"/>
      <c r="L29" s="341"/>
      <c r="M29" s="31"/>
    </row>
    <row r="30" spans="2:13" s="6" customFormat="1" ht="18.95" customHeight="1" x14ac:dyDescent="0.2">
      <c r="B30" s="46" t="s">
        <v>228</v>
      </c>
      <c r="C30" s="46"/>
      <c r="D30" s="551"/>
      <c r="E30" s="551"/>
      <c r="F30" s="552" t="s">
        <v>182</v>
      </c>
      <c r="G30" s="552"/>
      <c r="H30" s="258"/>
      <c r="I30" s="340"/>
      <c r="J30" s="340" t="s">
        <v>318</v>
      </c>
      <c r="K30" s="343">
        <f>300000*0.9</f>
        <v>270000</v>
      </c>
      <c r="L30" s="341"/>
      <c r="M30" s="31"/>
    </row>
    <row r="31" spans="2:13" s="6" customFormat="1" ht="20.100000000000001" customHeight="1" x14ac:dyDescent="0.2">
      <c r="B31" s="32" t="s">
        <v>55</v>
      </c>
      <c r="F31" s="29">
        <v>43753</v>
      </c>
      <c r="I31" s="340"/>
      <c r="J31" s="340" t="s">
        <v>317</v>
      </c>
      <c r="K31" s="343">
        <f>(K28-300000)*0.6</f>
        <v>932160</v>
      </c>
      <c r="L31" s="341"/>
      <c r="M31" s="31"/>
    </row>
    <row r="32" spans="2:13" s="6" customFormat="1" ht="20.100000000000001" customHeight="1" thickBot="1" x14ac:dyDescent="0.25">
      <c r="B32" s="32" t="s">
        <v>56</v>
      </c>
      <c r="F32" s="34" t="s">
        <v>57</v>
      </c>
      <c r="I32" s="340"/>
      <c r="J32" s="340" t="s">
        <v>428</v>
      </c>
      <c r="K32" s="349">
        <f>SUM(K30:K31)</f>
        <v>1202160</v>
      </c>
      <c r="L32" s="341"/>
      <c r="M32" s="110"/>
    </row>
    <row r="33" spans="2:13" s="6" customFormat="1" ht="20.100000000000001" customHeight="1" thickTop="1" x14ac:dyDescent="0.25">
      <c r="B33" s="25" t="s">
        <v>198</v>
      </c>
      <c r="E33" s="3"/>
      <c r="K33" s="329"/>
      <c r="L33" s="350" t="s">
        <v>280</v>
      </c>
      <c r="M33" s="328">
        <f>SUM(M4:M32)</f>
        <v>1632600</v>
      </c>
    </row>
    <row r="34" spans="2:13" s="6" customFormat="1" ht="20.100000000000001" customHeight="1" x14ac:dyDescent="0.25">
      <c r="B34" s="65" t="s">
        <v>59</v>
      </c>
      <c r="C34" s="58"/>
      <c r="D34" s="58"/>
      <c r="E34" s="74"/>
      <c r="F34" s="58"/>
      <c r="G34" s="59"/>
      <c r="H34" s="60"/>
      <c r="K34" s="316"/>
      <c r="L34" s="243" t="s">
        <v>281</v>
      </c>
      <c r="M34" s="316">
        <f>+G50</f>
        <v>120000</v>
      </c>
    </row>
    <row r="35" spans="2:13" s="6" customFormat="1" ht="30" customHeight="1" thickBot="1" x14ac:dyDescent="0.3">
      <c r="B35" s="539" t="s">
        <v>516</v>
      </c>
      <c r="C35" s="540"/>
      <c r="D35" s="540"/>
      <c r="E35" s="540"/>
      <c r="F35" s="540"/>
      <c r="G35" s="548"/>
      <c r="H35" s="245"/>
      <c r="K35" s="244" t="s">
        <v>429</v>
      </c>
      <c r="L35" s="350" t="s">
        <v>409</v>
      </c>
      <c r="M35" s="315">
        <f>(M33-M34)-2</f>
        <v>1512598</v>
      </c>
    </row>
    <row r="36" spans="2:13" s="6" customFormat="1" ht="20.100000000000001" customHeight="1" thickTop="1" x14ac:dyDescent="0.2">
      <c r="B36" s="96" t="s">
        <v>191</v>
      </c>
      <c r="C36" s="75"/>
      <c r="D36" s="75"/>
      <c r="E36" s="75"/>
      <c r="F36" s="75"/>
      <c r="G36" s="294">
        <v>1800000</v>
      </c>
      <c r="H36" s="324"/>
      <c r="J36" s="44" t="s">
        <v>282</v>
      </c>
      <c r="K36" s="28">
        <v>0.3</v>
      </c>
      <c r="L36" s="316">
        <f>ROUND((M35-M15)*0.3,0)</f>
        <v>423779</v>
      </c>
      <c r="M36" s="316"/>
    </row>
    <row r="37" spans="2:13" s="6" customFormat="1" ht="20.100000000000001" customHeight="1" x14ac:dyDescent="0.2">
      <c r="B37" s="96" t="s">
        <v>192</v>
      </c>
      <c r="C37" s="60"/>
      <c r="D37" s="60"/>
      <c r="E37" s="60"/>
      <c r="F37" s="27"/>
      <c r="G37" s="295">
        <f>ROUND(G36*0.05,0)</f>
        <v>90000</v>
      </c>
      <c r="H37" s="324"/>
      <c r="I37" s="5"/>
      <c r="J37" s="44" t="s">
        <v>425</v>
      </c>
      <c r="K37" s="28">
        <v>0.2</v>
      </c>
      <c r="L37" s="327">
        <f>ROUND(M15*K37,0)</f>
        <v>20000</v>
      </c>
      <c r="M37" s="316"/>
    </row>
    <row r="38" spans="2:13" s="6" customFormat="1" ht="20.100000000000001" customHeight="1" x14ac:dyDescent="0.2">
      <c r="B38" s="96" t="s">
        <v>405</v>
      </c>
      <c r="C38" s="60"/>
      <c r="D38" s="60"/>
      <c r="E38" s="60"/>
      <c r="F38" s="69"/>
      <c r="G38" s="295">
        <f>ROUND(G36*0.25,0)</f>
        <v>450000</v>
      </c>
      <c r="H38" s="324"/>
      <c r="I38" s="34"/>
      <c r="J38" s="44"/>
      <c r="K38" s="31"/>
      <c r="L38" s="316">
        <f>SUM(L36:L37)</f>
        <v>443779</v>
      </c>
      <c r="M38" s="316"/>
    </row>
    <row r="39" spans="2:13" s="6" customFormat="1" ht="20.100000000000001" customHeight="1" x14ac:dyDescent="0.2">
      <c r="B39" s="102" t="s">
        <v>296</v>
      </c>
      <c r="C39" s="63"/>
      <c r="D39" s="63"/>
      <c r="E39" s="63"/>
      <c r="F39" s="72">
        <f>ROUND(+G36/10,0)</f>
        <v>180000</v>
      </c>
      <c r="G39" s="131"/>
      <c r="H39" s="324"/>
      <c r="I39" s="34"/>
      <c r="J39" s="293" t="s">
        <v>486</v>
      </c>
      <c r="K39" s="28">
        <v>0.04</v>
      </c>
      <c r="L39" s="327">
        <f>ROUND(K39*L38,0)</f>
        <v>17751</v>
      </c>
      <c r="M39" s="316"/>
    </row>
    <row r="40" spans="2:13" s="6" customFormat="1" ht="20.100000000000001" customHeight="1" x14ac:dyDescent="0.25">
      <c r="B40" s="65" t="s">
        <v>204</v>
      </c>
      <c r="C40" s="58"/>
      <c r="D40" s="58"/>
      <c r="E40" s="58"/>
      <c r="F40" s="66"/>
      <c r="G40" s="67"/>
      <c r="H40" s="324"/>
      <c r="I40" s="34"/>
      <c r="J40" s="6" t="s">
        <v>286</v>
      </c>
      <c r="K40" s="28"/>
      <c r="L40" s="316"/>
      <c r="M40" s="331">
        <f>L38+L39</f>
        <v>461530</v>
      </c>
    </row>
    <row r="41" spans="2:13" s="6" customFormat="1" ht="20.100000000000001" customHeight="1" x14ac:dyDescent="0.2">
      <c r="B41" s="96" t="s">
        <v>248</v>
      </c>
      <c r="C41" s="60"/>
      <c r="D41" s="6" t="s">
        <v>510</v>
      </c>
      <c r="F41" s="114">
        <v>43404</v>
      </c>
      <c r="G41" s="294">
        <v>6000000</v>
      </c>
      <c r="H41" s="324"/>
      <c r="I41" s="34"/>
      <c r="J41" s="6" t="s">
        <v>287</v>
      </c>
      <c r="L41" s="316">
        <f>ROUND(L5*0.1,0)</f>
        <v>180000</v>
      </c>
      <c r="M41" s="316"/>
    </row>
    <row r="42" spans="2:13" s="6" customFormat="1" ht="20.100000000000001" customHeight="1" x14ac:dyDescent="0.2">
      <c r="B42" s="96" t="s">
        <v>69</v>
      </c>
      <c r="C42" s="60"/>
      <c r="D42" s="242" t="s">
        <v>478</v>
      </c>
      <c r="E42" s="60"/>
      <c r="F42" s="60"/>
      <c r="G42" s="295">
        <f>ROUND(G41*1.03,0)</f>
        <v>6180000</v>
      </c>
      <c r="H42" s="324"/>
      <c r="I42" s="34"/>
      <c r="J42" s="6" t="s">
        <v>430</v>
      </c>
      <c r="L42" s="327">
        <f>G52+G53</f>
        <v>294000</v>
      </c>
      <c r="M42" s="327">
        <f>L41+L42</f>
        <v>474000</v>
      </c>
    </row>
    <row r="43" spans="2:13" s="6" customFormat="1" ht="20.100000000000001" customHeight="1" x14ac:dyDescent="0.25">
      <c r="B43" s="96" t="s">
        <v>71</v>
      </c>
      <c r="C43" s="60"/>
      <c r="D43" s="60"/>
      <c r="E43" s="60"/>
      <c r="F43" s="27"/>
      <c r="G43" s="295">
        <f>ROUND(G41*0.01,0)</f>
        <v>60000</v>
      </c>
      <c r="H43" s="259"/>
      <c r="I43" s="5"/>
      <c r="K43" s="31"/>
      <c r="L43" s="332" t="s">
        <v>431</v>
      </c>
      <c r="M43" s="333">
        <f>M40-M42</f>
        <v>-12470</v>
      </c>
    </row>
    <row r="44" spans="2:13" s="6" customFormat="1" ht="20.100000000000001" customHeight="1" x14ac:dyDescent="0.2">
      <c r="B44" s="96" t="s">
        <v>395</v>
      </c>
      <c r="C44" s="60"/>
      <c r="D44" s="60"/>
      <c r="E44" s="23" t="s">
        <v>509</v>
      </c>
      <c r="F44" s="68"/>
      <c r="G44" s="295">
        <f>ROUND(G41/40,0)</f>
        <v>150000</v>
      </c>
      <c r="H44" s="259"/>
      <c r="I44" s="5"/>
      <c r="J44" s="6" t="s">
        <v>408</v>
      </c>
      <c r="L44" s="316"/>
      <c r="M44" s="316">
        <v>10000</v>
      </c>
    </row>
    <row r="45" spans="2:13" s="6" customFormat="1" ht="20.100000000000001" customHeight="1" thickBot="1" x14ac:dyDescent="0.3">
      <c r="B45" s="241" t="s">
        <v>393</v>
      </c>
      <c r="D45" s="242" t="s">
        <v>394</v>
      </c>
      <c r="G45" s="295">
        <f>G44*2</f>
        <v>300000</v>
      </c>
      <c r="H45" s="259"/>
      <c r="I45" s="5"/>
      <c r="K45" s="254" t="s">
        <v>429</v>
      </c>
      <c r="L45" s="332" t="s">
        <v>417</v>
      </c>
      <c r="M45" s="334">
        <f>M43+M44</f>
        <v>-2470</v>
      </c>
    </row>
    <row r="46" spans="2:13" s="6" customFormat="1" ht="20.100000000000001" customHeight="1" x14ac:dyDescent="0.2">
      <c r="B46" s="102" t="s">
        <v>250</v>
      </c>
      <c r="C46" s="63"/>
      <c r="D46" s="63"/>
      <c r="E46" s="63"/>
      <c r="F46" s="115">
        <f>F41+125</f>
        <v>43529</v>
      </c>
      <c r="G46" s="295">
        <f>ROUND(G41*0.9,0)</f>
        <v>5400000</v>
      </c>
      <c r="H46" s="259"/>
      <c r="I46" s="34"/>
    </row>
    <row r="47" spans="2:13" s="6" customFormat="1" ht="20.100000000000001" customHeight="1" x14ac:dyDescent="0.25">
      <c r="B47" s="65" t="s">
        <v>79</v>
      </c>
      <c r="C47" s="58"/>
      <c r="D47" s="58"/>
      <c r="E47" s="60"/>
      <c r="F47" s="60"/>
      <c r="G47" s="67"/>
      <c r="H47" s="259"/>
      <c r="L47" s="330"/>
      <c r="M47" s="330"/>
    </row>
    <row r="48" spans="2:13" s="6" customFormat="1" ht="20.25" customHeight="1" x14ac:dyDescent="0.2">
      <c r="B48" s="539" t="s">
        <v>490</v>
      </c>
      <c r="C48" s="540"/>
      <c r="D48" s="540"/>
      <c r="E48" s="540"/>
      <c r="F48" s="540"/>
      <c r="G48" s="294">
        <v>120000</v>
      </c>
      <c r="H48" s="259"/>
      <c r="I48" s="34"/>
      <c r="K48" s="28">
        <v>0.15</v>
      </c>
      <c r="L48" s="28">
        <v>0.4</v>
      </c>
      <c r="M48" s="31"/>
    </row>
    <row r="49" spans="2:13" s="6" customFormat="1" ht="20.100000000000001" customHeight="1" x14ac:dyDescent="0.2">
      <c r="B49" s="102" t="s">
        <v>189</v>
      </c>
      <c r="C49" s="103"/>
      <c r="D49" s="103"/>
      <c r="E49" s="103"/>
      <c r="F49" s="105"/>
      <c r="G49" s="296">
        <f>ROUND(G48/10,0)</f>
        <v>12000</v>
      </c>
      <c r="H49" s="259"/>
      <c r="I49" s="5"/>
      <c r="K49" s="5" t="s">
        <v>262</v>
      </c>
      <c r="L49" s="5" t="s">
        <v>263</v>
      </c>
      <c r="M49" s="31"/>
    </row>
    <row r="50" spans="2:13" s="6" customFormat="1" ht="20.100000000000001" customHeight="1" x14ac:dyDescent="0.2">
      <c r="B50" s="6" t="s">
        <v>489</v>
      </c>
      <c r="F50" s="5"/>
      <c r="G50" s="297">
        <v>120000</v>
      </c>
      <c r="H50" s="259"/>
      <c r="I50" s="5"/>
      <c r="J50" s="6" t="s">
        <v>264</v>
      </c>
      <c r="K50" s="31">
        <f>(F88+F89-F90)*K48</f>
        <v>205200</v>
      </c>
      <c r="L50" s="31">
        <f>(G88+G89-G90)*L48</f>
        <v>82080</v>
      </c>
      <c r="M50" s="31"/>
    </row>
    <row r="51" spans="2:13" s="6" customFormat="1" ht="20.100000000000001" customHeight="1" x14ac:dyDescent="0.2">
      <c r="B51" s="6" t="s">
        <v>194</v>
      </c>
      <c r="G51" s="24"/>
      <c r="H51" s="259"/>
      <c r="J51" s="6" t="s">
        <v>265</v>
      </c>
      <c r="K51" s="31">
        <f>F91*K48/2</f>
        <v>10800</v>
      </c>
      <c r="L51" s="31">
        <f>G91*L48/2</f>
        <v>4320</v>
      </c>
      <c r="M51" s="31"/>
    </row>
    <row r="52" spans="2:13" s="6" customFormat="1" ht="20.100000000000001" customHeight="1" x14ac:dyDescent="0.2">
      <c r="B52" s="32" t="s">
        <v>479</v>
      </c>
      <c r="F52" s="5"/>
      <c r="G52" s="298">
        <v>140000</v>
      </c>
      <c r="H52" s="259"/>
      <c r="I52" s="27"/>
      <c r="J52" s="6" t="s">
        <v>388</v>
      </c>
      <c r="K52" s="31">
        <f>F89*0.2</f>
        <v>48000</v>
      </c>
      <c r="L52" s="31"/>
      <c r="M52" s="31"/>
    </row>
    <row r="53" spans="2:13" s="6" customFormat="1" ht="20.100000000000001" customHeight="1" thickBot="1" x14ac:dyDescent="0.3">
      <c r="B53" s="32" t="s">
        <v>480</v>
      </c>
      <c r="F53" s="5"/>
      <c r="G53" s="299">
        <f>G52*1.1</f>
        <v>154000</v>
      </c>
      <c r="H53" s="259"/>
      <c r="I53" s="5"/>
      <c r="K53" s="118">
        <f>SUM(K50:K52)</f>
        <v>264000</v>
      </c>
      <c r="L53" s="118">
        <f>SUM(L50:L52)</f>
        <v>86400</v>
      </c>
      <c r="M53" s="31">
        <f>K53+L53</f>
        <v>350400</v>
      </c>
    </row>
    <row r="54" spans="2:13" s="6" customFormat="1" ht="21.75" customHeight="1" thickTop="1" x14ac:dyDescent="0.25">
      <c r="B54" s="572" t="s">
        <v>499</v>
      </c>
      <c r="C54" s="573"/>
      <c r="D54" s="573"/>
      <c r="E54" s="573"/>
      <c r="F54" s="573"/>
      <c r="G54" s="574"/>
      <c r="H54" s="260"/>
    </row>
    <row r="55" spans="2:13" s="6" customFormat="1" ht="21.75" customHeight="1" x14ac:dyDescent="0.2">
      <c r="B55" s="563" t="s">
        <v>505</v>
      </c>
      <c r="C55" s="564"/>
      <c r="D55" s="564"/>
      <c r="E55" s="564"/>
      <c r="F55" s="564"/>
      <c r="G55" s="565"/>
      <c r="H55" s="260"/>
    </row>
    <row r="56" spans="2:13" s="6" customFormat="1" ht="20.25" customHeight="1" x14ac:dyDescent="0.25">
      <c r="B56" s="544" t="s">
        <v>481</v>
      </c>
      <c r="C56" s="544"/>
      <c r="D56" s="544"/>
      <c r="E56" s="544"/>
      <c r="F56" s="544"/>
      <c r="G56" s="544"/>
      <c r="H56" s="261"/>
      <c r="I56" s="34">
        <v>1</v>
      </c>
      <c r="J56" s="253" t="s">
        <v>420</v>
      </c>
      <c r="K56" s="31"/>
      <c r="L56" s="31"/>
      <c r="M56" s="31"/>
    </row>
    <row r="57" spans="2:13" s="6" customFormat="1" ht="16.5" customHeight="1" x14ac:dyDescent="0.25">
      <c r="B57" s="47" t="s">
        <v>202</v>
      </c>
      <c r="C57" s="48"/>
      <c r="D57" s="300">
        <f>ROUND(G60*1.1,0)</f>
        <v>2244000</v>
      </c>
      <c r="E57" s="301" t="s">
        <v>199</v>
      </c>
      <c r="F57" s="302"/>
      <c r="G57" s="303">
        <v>20000000</v>
      </c>
      <c r="H57" s="261"/>
      <c r="I57" s="5"/>
      <c r="J57" s="252" t="s">
        <v>504</v>
      </c>
      <c r="K57" s="31"/>
      <c r="L57" s="31"/>
      <c r="M57" s="31"/>
    </row>
    <row r="58" spans="2:13" s="6" customFormat="1" ht="17.100000000000001" customHeight="1" x14ac:dyDescent="0.2">
      <c r="B58" s="47" t="s">
        <v>203</v>
      </c>
      <c r="C58" s="48"/>
      <c r="D58" s="300">
        <f>ROUND(G57*0.525,0)</f>
        <v>10500000</v>
      </c>
      <c r="E58" s="301" t="s">
        <v>233</v>
      </c>
      <c r="F58" s="302"/>
      <c r="G58" s="300">
        <f>ROUND(G57*0.01,0)</f>
        <v>200000</v>
      </c>
      <c r="H58" s="259"/>
      <c r="I58" s="5">
        <v>2</v>
      </c>
      <c r="J58" s="253" t="s">
        <v>419</v>
      </c>
      <c r="K58" s="31"/>
      <c r="L58" s="31"/>
      <c r="M58" s="31"/>
    </row>
    <row r="59" spans="2:13" s="6" customFormat="1" ht="17.100000000000001" customHeight="1" x14ac:dyDescent="0.2">
      <c r="B59" s="47" t="s">
        <v>98</v>
      </c>
      <c r="C59" s="48"/>
      <c r="D59" s="300">
        <f>ROUND(D58/100,0)+5000</f>
        <v>110000</v>
      </c>
      <c r="E59" s="301" t="s">
        <v>391</v>
      </c>
      <c r="F59" s="304"/>
      <c r="G59" s="300">
        <f>ROUND(G57*0.25,0)</f>
        <v>5000000</v>
      </c>
      <c r="H59" s="259"/>
      <c r="I59" s="34"/>
      <c r="J59" s="242" t="s">
        <v>508</v>
      </c>
      <c r="K59" s="31"/>
      <c r="L59" s="31"/>
      <c r="M59" s="31"/>
    </row>
    <row r="60" spans="2:13" s="6" customFormat="1" ht="17.100000000000001" customHeight="1" x14ac:dyDescent="0.2">
      <c r="B60" s="47" t="s">
        <v>396</v>
      </c>
      <c r="C60" s="48"/>
      <c r="D60" s="300">
        <f>ROUND(D58*0.12,0)</f>
        <v>1260000</v>
      </c>
      <c r="E60" s="301" t="s">
        <v>164</v>
      </c>
      <c r="F60" s="304"/>
      <c r="G60" s="300">
        <f>ROUND(G57/10+G58/5,0)</f>
        <v>2040000</v>
      </c>
      <c r="H60" s="259"/>
      <c r="I60" s="5">
        <v>3</v>
      </c>
      <c r="J60" s="253" t="s">
        <v>423</v>
      </c>
      <c r="L60" s="251" t="s">
        <v>422</v>
      </c>
      <c r="M60" s="31"/>
    </row>
    <row r="61" spans="2:13" s="6" customFormat="1" ht="17.100000000000001" customHeight="1" x14ac:dyDescent="0.2">
      <c r="B61" s="47" t="s">
        <v>501</v>
      </c>
      <c r="C61" s="48"/>
      <c r="D61" s="300">
        <f>ROUND(G59/4,0)</f>
        <v>1250000</v>
      </c>
      <c r="E61" s="305"/>
      <c r="F61" s="306"/>
      <c r="G61" s="307"/>
      <c r="H61" s="259"/>
      <c r="I61" s="34"/>
      <c r="J61" s="252" t="s">
        <v>421</v>
      </c>
      <c r="K61" s="31"/>
      <c r="L61" s="31"/>
      <c r="M61" s="31"/>
    </row>
    <row r="62" spans="2:13" s="6" customFormat="1" ht="17.100000000000001" customHeight="1" x14ac:dyDescent="0.2">
      <c r="B62" s="47" t="s">
        <v>397</v>
      </c>
      <c r="C62" s="48"/>
      <c r="D62" s="308">
        <f>ROUND(D61/5,0)</f>
        <v>250000</v>
      </c>
      <c r="E62" s="305"/>
      <c r="F62" s="306"/>
      <c r="G62" s="307"/>
      <c r="H62" s="259"/>
      <c r="I62" s="34">
        <v>4</v>
      </c>
      <c r="J62" s="253" t="s">
        <v>424</v>
      </c>
      <c r="K62" s="31"/>
      <c r="L62" s="251" t="s">
        <v>422</v>
      </c>
      <c r="M62" s="31"/>
    </row>
    <row r="63" spans="2:13" s="6" customFormat="1" ht="17.100000000000001" customHeight="1" x14ac:dyDescent="0.2">
      <c r="B63" s="54" t="s">
        <v>506</v>
      </c>
      <c r="C63" s="55"/>
      <c r="D63" s="335">
        <f>D64-SUM(D57:D62)</f>
        <v>11626000</v>
      </c>
      <c r="E63" s="305"/>
      <c r="F63" s="306"/>
      <c r="G63" s="307"/>
      <c r="H63" s="259"/>
      <c r="J63" s="252" t="s">
        <v>421</v>
      </c>
      <c r="K63" s="31"/>
      <c r="L63" s="31"/>
      <c r="M63" s="31"/>
    </row>
    <row r="64" spans="2:13" s="6" customFormat="1" ht="17.100000000000001" customHeight="1" thickBot="1" x14ac:dyDescent="0.3">
      <c r="B64" s="338"/>
      <c r="C64" s="339"/>
      <c r="D64" s="353">
        <f>+G64</f>
        <v>27240000</v>
      </c>
      <c r="E64" s="354"/>
      <c r="F64" s="355"/>
      <c r="G64" s="356">
        <f>SUM(G57:G63)</f>
        <v>27240000</v>
      </c>
      <c r="H64" s="259"/>
    </row>
    <row r="65" spans="2:13" s="6" customFormat="1" ht="17.100000000000001" customHeight="1" thickTop="1" x14ac:dyDescent="0.2">
      <c r="B65" s="336" t="s">
        <v>205</v>
      </c>
      <c r="C65" s="337"/>
      <c r="D65" s="313">
        <f>D61+D62</f>
        <v>1500000</v>
      </c>
      <c r="E65" s="309" t="str">
        <f>+B63</f>
        <v xml:space="preserve">Gross Profit </v>
      </c>
      <c r="F65" s="306"/>
      <c r="G65" s="307">
        <f>+D63</f>
        <v>11626000</v>
      </c>
      <c r="H65" s="259"/>
    </row>
    <row r="66" spans="2:13" s="6" customFormat="1" ht="17.100000000000001" customHeight="1" x14ac:dyDescent="0.2">
      <c r="B66" s="47" t="s">
        <v>206</v>
      </c>
      <c r="C66" s="48"/>
      <c r="D66" s="300">
        <f>ROUND(+D61*1.1,0)</f>
        <v>1375000</v>
      </c>
      <c r="E66" s="309"/>
      <c r="F66" s="306"/>
      <c r="G66" s="307"/>
      <c r="H66" s="259"/>
    </row>
    <row r="67" spans="2:13" s="6" customFormat="1" ht="17.100000000000001" customHeight="1" x14ac:dyDescent="0.2">
      <c r="B67" s="47" t="s">
        <v>207</v>
      </c>
      <c r="C67" s="48"/>
      <c r="D67" s="300">
        <f>ROUND(+G58/2,0)</f>
        <v>100000</v>
      </c>
      <c r="E67" s="309"/>
      <c r="F67" s="306"/>
      <c r="G67" s="307"/>
      <c r="H67" s="259"/>
      <c r="M67" s="31"/>
    </row>
    <row r="68" spans="2:13" s="6" customFormat="1" ht="17.100000000000001" customHeight="1" x14ac:dyDescent="0.2">
      <c r="B68" s="47" t="s">
        <v>107</v>
      </c>
      <c r="C68" s="48"/>
      <c r="D68" s="300">
        <f>ROUND(G57*0.15,0)</f>
        <v>3000000</v>
      </c>
      <c r="E68" s="309"/>
      <c r="F68" s="306"/>
      <c r="G68" s="307"/>
      <c r="H68" s="259"/>
      <c r="M68" s="31"/>
    </row>
    <row r="69" spans="2:13" s="6" customFormat="1" ht="17.100000000000001" customHeight="1" x14ac:dyDescent="0.2">
      <c r="B69" s="47" t="s">
        <v>109</v>
      </c>
      <c r="C69" s="48"/>
      <c r="D69" s="300">
        <f>ROUND(+D62+2000,0)</f>
        <v>252000</v>
      </c>
      <c r="E69" s="309"/>
      <c r="F69" s="306"/>
      <c r="G69" s="307"/>
      <c r="H69" s="259"/>
      <c r="I69" s="5"/>
      <c r="K69" s="31"/>
      <c r="L69" s="31"/>
      <c r="M69" s="31"/>
    </row>
    <row r="70" spans="2:13" s="6" customFormat="1" ht="17.100000000000001" customHeight="1" x14ac:dyDescent="0.2">
      <c r="B70" s="47" t="s">
        <v>110</v>
      </c>
      <c r="C70" s="48"/>
      <c r="D70" s="300">
        <f>+D67+D65</f>
        <v>1600000</v>
      </c>
      <c r="E70" s="309"/>
      <c r="F70" s="306"/>
      <c r="G70" s="307"/>
      <c r="H70" s="259"/>
      <c r="I70" s="5"/>
      <c r="J70" s="562" t="s">
        <v>502</v>
      </c>
      <c r="K70" s="562"/>
      <c r="L70" s="31"/>
      <c r="M70" s="31"/>
    </row>
    <row r="71" spans="2:13" s="6" customFormat="1" ht="17.100000000000001" customHeight="1" x14ac:dyDescent="0.2">
      <c r="B71" s="47" t="s">
        <v>111</v>
      </c>
      <c r="C71" s="48"/>
      <c r="D71" s="300">
        <f>ROUND(G57/125,0)</f>
        <v>160000</v>
      </c>
      <c r="E71" s="309"/>
      <c r="F71" s="306"/>
      <c r="G71" s="307"/>
      <c r="H71" s="259"/>
      <c r="I71" s="5"/>
      <c r="J71" s="316">
        <f>D57+D58+D59+D60+D61+D62</f>
        <v>15614000</v>
      </c>
      <c r="K71" s="316">
        <f>G57+G58+G59+G60</f>
        <v>27240000</v>
      </c>
      <c r="L71" s="31"/>
      <c r="M71" s="31"/>
    </row>
    <row r="72" spans="2:13" s="6" customFormat="1" ht="17.100000000000001" customHeight="1" x14ac:dyDescent="0.2">
      <c r="B72" s="47" t="s">
        <v>208</v>
      </c>
      <c r="C72" s="48"/>
      <c r="D72" s="300">
        <f>ROUND(D71*2.25,0)</f>
        <v>360000</v>
      </c>
      <c r="E72" s="309"/>
      <c r="F72" s="306"/>
      <c r="G72" s="307"/>
      <c r="H72" s="259"/>
      <c r="I72" s="243" t="s">
        <v>503</v>
      </c>
      <c r="J72" s="316">
        <f>J73-J71</f>
        <v>11626000</v>
      </c>
      <c r="K72" s="316"/>
      <c r="M72" s="31"/>
    </row>
    <row r="73" spans="2:13" s="6" customFormat="1" ht="17.100000000000001" customHeight="1" thickBot="1" x14ac:dyDescent="0.25">
      <c r="B73" s="47" t="s">
        <v>114</v>
      </c>
      <c r="C73" s="48"/>
      <c r="D73" s="300">
        <f>ROUND(+D67/2,0)</f>
        <v>50000</v>
      </c>
      <c r="E73" s="309"/>
      <c r="F73" s="306"/>
      <c r="G73" s="307"/>
      <c r="H73" s="259"/>
      <c r="J73" s="315">
        <f>+K73</f>
        <v>27240000</v>
      </c>
      <c r="K73" s="315">
        <f>SUM(K71:K72)</f>
        <v>27240000</v>
      </c>
      <c r="M73" s="31"/>
    </row>
    <row r="74" spans="2:13" s="6" customFormat="1" ht="17.100000000000001" customHeight="1" thickTop="1" x14ac:dyDescent="0.2">
      <c r="B74" s="47" t="s">
        <v>209</v>
      </c>
      <c r="C74" s="48"/>
      <c r="D74" s="300">
        <f>D73+D71</f>
        <v>210000</v>
      </c>
      <c r="E74" s="309"/>
      <c r="F74" s="306"/>
      <c r="G74" s="307"/>
      <c r="H74" s="259"/>
      <c r="M74" s="31"/>
    </row>
    <row r="75" spans="2:13" s="6" customFormat="1" ht="17.100000000000001" customHeight="1" x14ac:dyDescent="0.2">
      <c r="B75" s="47" t="s">
        <v>116</v>
      </c>
      <c r="C75" s="48"/>
      <c r="D75" s="300">
        <f>ROUND(G58*0.4,0)</f>
        <v>80000</v>
      </c>
      <c r="E75" s="309"/>
      <c r="F75" s="306"/>
      <c r="G75" s="307"/>
      <c r="H75" s="259"/>
      <c r="M75" s="31"/>
    </row>
    <row r="76" spans="2:13" s="6" customFormat="1" ht="17.100000000000001" customHeight="1" x14ac:dyDescent="0.2">
      <c r="B76" s="47" t="s">
        <v>118</v>
      </c>
      <c r="C76" s="48"/>
      <c r="D76" s="300">
        <f>ROUND(D68*0.015,0)</f>
        <v>45000</v>
      </c>
      <c r="E76" s="309"/>
      <c r="F76" s="306"/>
      <c r="G76" s="307"/>
      <c r="H76" s="259"/>
      <c r="M76" s="31"/>
    </row>
    <row r="77" spans="2:13" s="6" customFormat="1" ht="17.100000000000001" customHeight="1" x14ac:dyDescent="0.2">
      <c r="B77" s="47" t="s">
        <v>119</v>
      </c>
      <c r="C77" s="48"/>
      <c r="D77" s="300">
        <f>ROUND(G57*0.016,0)</f>
        <v>320000</v>
      </c>
      <c r="E77" s="309"/>
      <c r="F77" s="306"/>
      <c r="G77" s="307"/>
      <c r="H77" s="259"/>
      <c r="M77" s="31"/>
    </row>
    <row r="78" spans="2:13" s="6" customFormat="1" ht="17.100000000000001" customHeight="1" x14ac:dyDescent="0.2">
      <c r="B78" s="47" t="s">
        <v>122</v>
      </c>
      <c r="C78" s="48"/>
      <c r="D78" s="300">
        <f>ROUND(G57*0.0015,0)</f>
        <v>30000</v>
      </c>
      <c r="E78" s="309"/>
      <c r="F78" s="306"/>
      <c r="G78" s="307"/>
      <c r="H78" s="259"/>
      <c r="M78" s="31"/>
    </row>
    <row r="79" spans="2:13" s="6" customFormat="1" ht="17.100000000000001" customHeight="1" x14ac:dyDescent="0.2">
      <c r="B79" s="47" t="s">
        <v>123</v>
      </c>
      <c r="C79" s="48"/>
      <c r="D79" s="300">
        <f>ROUND(F92*0.18+G92*0.25,0)</f>
        <v>328860</v>
      </c>
      <c r="E79" s="309"/>
      <c r="F79" s="306"/>
      <c r="G79" s="307"/>
      <c r="H79" s="259"/>
      <c r="M79" s="31"/>
    </row>
    <row r="80" spans="2:13" s="6" customFormat="1" ht="18.75" customHeight="1" x14ac:dyDescent="0.2">
      <c r="B80" s="47" t="s">
        <v>354</v>
      </c>
      <c r="C80" s="48"/>
      <c r="D80" s="300">
        <f>(D96+D97+D98)*0.1</f>
        <v>300000</v>
      </c>
      <c r="E80" s="310"/>
      <c r="F80" s="306"/>
      <c r="G80" s="307"/>
      <c r="H80" s="259"/>
      <c r="I80" s="34"/>
      <c r="J80" s="251"/>
      <c r="K80" s="31"/>
      <c r="L80" s="31"/>
      <c r="M80" s="31"/>
    </row>
    <row r="81" spans="2:13" s="6" customFormat="1" ht="24.75" customHeight="1" x14ac:dyDescent="0.2">
      <c r="B81" s="545" t="s">
        <v>496</v>
      </c>
      <c r="C81" s="546"/>
      <c r="D81" s="326">
        <f>30000*12*3</f>
        <v>1080000</v>
      </c>
      <c r="E81" s="310"/>
      <c r="F81" s="306"/>
      <c r="G81" s="307"/>
      <c r="H81" s="259"/>
      <c r="I81" s="34"/>
      <c r="K81" s="31"/>
      <c r="L81" s="31"/>
      <c r="M81" s="31"/>
    </row>
    <row r="82" spans="2:13" s="6" customFormat="1" ht="17.100000000000001" customHeight="1" x14ac:dyDescent="0.2">
      <c r="B82" s="47" t="s">
        <v>125</v>
      </c>
      <c r="C82" s="48"/>
      <c r="D82" s="300">
        <f>+D71</f>
        <v>160000</v>
      </c>
      <c r="E82" s="309"/>
      <c r="F82" s="306"/>
      <c r="G82" s="307"/>
      <c r="H82" s="259"/>
      <c r="I82" s="34"/>
      <c r="K82" s="31"/>
      <c r="L82" s="31"/>
      <c r="M82" s="31"/>
    </row>
    <row r="83" spans="2:13" s="6" customFormat="1" ht="17.100000000000001" customHeight="1" x14ac:dyDescent="0.2">
      <c r="B83" s="54" t="s">
        <v>126</v>
      </c>
      <c r="C83" s="55"/>
      <c r="D83" s="311">
        <f>G84-SUM(D65:D82)</f>
        <v>675140</v>
      </c>
      <c r="E83" s="309"/>
      <c r="F83" s="312"/>
      <c r="G83" s="313"/>
      <c r="H83" s="259"/>
      <c r="I83" s="27"/>
      <c r="K83" s="31"/>
      <c r="L83" s="31"/>
      <c r="M83" s="31"/>
    </row>
    <row r="84" spans="2:13" s="6" customFormat="1" ht="21.75" customHeight="1" thickBot="1" x14ac:dyDescent="0.3">
      <c r="B84" s="88"/>
      <c r="C84" s="57"/>
      <c r="D84" s="356">
        <f>+G84</f>
        <v>11626000</v>
      </c>
      <c r="E84" s="357"/>
      <c r="F84" s="358"/>
      <c r="G84" s="356">
        <f>SUM(G65:G83)</f>
        <v>11626000</v>
      </c>
      <c r="H84" s="262"/>
      <c r="I84" s="27"/>
      <c r="J84" s="316"/>
      <c r="K84" s="31"/>
      <c r="L84" s="31"/>
      <c r="M84" s="31"/>
    </row>
    <row r="85" spans="2:13" s="6" customFormat="1" ht="21.75" customHeight="1" thickTop="1" x14ac:dyDescent="0.25">
      <c r="B85" s="60" t="s">
        <v>511</v>
      </c>
      <c r="C85" s="60"/>
      <c r="D85" s="351"/>
      <c r="E85" s="309"/>
      <c r="F85" s="352" t="s">
        <v>512</v>
      </c>
      <c r="G85" s="351">
        <f>G57+G58+G59</f>
        <v>25200000</v>
      </c>
      <c r="H85" s="262"/>
      <c r="I85" s="27"/>
      <c r="J85" s="316"/>
      <c r="K85" s="31"/>
      <c r="L85" s="31"/>
      <c r="M85" s="31"/>
    </row>
    <row r="86" spans="2:13" s="6" customFormat="1" ht="20.100000000000001" customHeight="1" x14ac:dyDescent="0.2">
      <c r="B86" s="32" t="s">
        <v>507</v>
      </c>
      <c r="C86" s="32"/>
      <c r="D86" s="32"/>
      <c r="E86" s="32"/>
      <c r="F86" s="32"/>
    </row>
    <row r="87" spans="2:13" s="6" customFormat="1" ht="22.5" customHeight="1" x14ac:dyDescent="0.2">
      <c r="B87" s="39"/>
      <c r="C87" s="40"/>
      <c r="D87" s="40"/>
      <c r="E87" s="41"/>
      <c r="F87" s="108" t="s">
        <v>229</v>
      </c>
      <c r="G87" s="109" t="s">
        <v>218</v>
      </c>
      <c r="H87" s="263"/>
      <c r="I87" s="34"/>
    </row>
    <row r="88" spans="2:13" s="6" customFormat="1" ht="20.100000000000001" customHeight="1" x14ac:dyDescent="0.2">
      <c r="B88" s="42" t="s">
        <v>219</v>
      </c>
      <c r="C88" s="40"/>
      <c r="D88" s="41"/>
      <c r="E88" s="76">
        <v>43191</v>
      </c>
      <c r="F88" s="317">
        <v>1200000</v>
      </c>
      <c r="G88" s="318">
        <f>ROUND(F88*0.15,0)</f>
        <v>180000</v>
      </c>
      <c r="H88" s="264"/>
      <c r="I88" s="34"/>
    </row>
    <row r="89" spans="2:13" s="6" customFormat="1" ht="20.100000000000001" customHeight="1" x14ac:dyDescent="0.2">
      <c r="B89" s="42" t="s">
        <v>383</v>
      </c>
      <c r="C89" s="40"/>
      <c r="D89" s="41"/>
      <c r="E89" s="79">
        <v>43221</v>
      </c>
      <c r="F89" s="308">
        <f>ROUND(F88*0.2,0)</f>
        <v>240000</v>
      </c>
      <c r="G89" s="308">
        <f>ROUND(G88*0.2,0)</f>
        <v>36000</v>
      </c>
      <c r="H89" s="121"/>
      <c r="I89" s="34"/>
    </row>
    <row r="90" spans="2:13" s="6" customFormat="1" ht="20.100000000000001" customHeight="1" x14ac:dyDescent="0.2">
      <c r="B90" s="42" t="s">
        <v>221</v>
      </c>
      <c r="C90" s="40"/>
      <c r="D90" s="41"/>
      <c r="E90" s="76">
        <f>E89+30</f>
        <v>43251</v>
      </c>
      <c r="F90" s="308">
        <f>ROUND(F89*0.3,0)</f>
        <v>72000</v>
      </c>
      <c r="G90" s="308">
        <f>ROUND(G89*0.3,0)</f>
        <v>10800</v>
      </c>
      <c r="H90" s="121"/>
      <c r="I90" s="34"/>
    </row>
    <row r="91" spans="2:13" s="6" customFormat="1" ht="20.100000000000001" customHeight="1" x14ac:dyDescent="0.2">
      <c r="B91" s="42" t="s">
        <v>384</v>
      </c>
      <c r="C91" s="40"/>
      <c r="D91" s="41"/>
      <c r="E91" s="76">
        <f>E89+175</f>
        <v>43396</v>
      </c>
      <c r="F91" s="308">
        <f>ROUND(F89*0.6,0)</f>
        <v>144000</v>
      </c>
      <c r="G91" s="308">
        <f>ROUND(G89*0.6,0)</f>
        <v>21600</v>
      </c>
      <c r="H91" s="121"/>
      <c r="I91" s="34"/>
    </row>
    <row r="92" spans="2:13" s="6" customFormat="1" ht="20.100000000000001" customHeight="1" x14ac:dyDescent="0.2">
      <c r="B92" s="42" t="s">
        <v>222</v>
      </c>
      <c r="C92" s="40"/>
      <c r="D92" s="41"/>
      <c r="E92" s="76">
        <v>43555</v>
      </c>
      <c r="F92" s="300">
        <f>F88+F89+F91-F90</f>
        <v>1512000</v>
      </c>
      <c r="G92" s="300">
        <f>G88+G89+G91-G90</f>
        <v>226800</v>
      </c>
      <c r="H92" s="259"/>
      <c r="I92" s="34"/>
      <c r="K92" s="31"/>
      <c r="L92" s="31"/>
      <c r="M92" s="31"/>
    </row>
    <row r="93" spans="2:13" s="6" customFormat="1" ht="33" customHeight="1" x14ac:dyDescent="0.2">
      <c r="B93" s="547" t="s">
        <v>482</v>
      </c>
      <c r="C93" s="547"/>
      <c r="D93" s="547"/>
      <c r="E93" s="547"/>
      <c r="F93" s="547"/>
      <c r="G93" s="547"/>
      <c r="H93" s="246"/>
      <c r="K93" s="31"/>
      <c r="L93" s="31"/>
      <c r="M93" s="31"/>
    </row>
    <row r="94" spans="2:13" s="6" customFormat="1" ht="18" customHeight="1" x14ac:dyDescent="0.2">
      <c r="B94" s="538" t="s">
        <v>483</v>
      </c>
      <c r="C94" s="538"/>
      <c r="D94" s="538"/>
      <c r="E94" s="538"/>
      <c r="F94" s="538"/>
      <c r="G94" s="538"/>
      <c r="H94" s="265"/>
      <c r="K94" s="31"/>
      <c r="L94" s="31"/>
      <c r="M94" s="31"/>
    </row>
    <row r="95" spans="2:13" s="6" customFormat="1" ht="20.100000000000001" customHeight="1" x14ac:dyDescent="0.2">
      <c r="B95" s="42" t="s">
        <v>160</v>
      </c>
      <c r="C95" s="41"/>
      <c r="D95" s="300"/>
      <c r="E95" s="319" t="s">
        <v>164</v>
      </c>
      <c r="F95" s="320"/>
      <c r="G95" s="300">
        <f>+G60</f>
        <v>2040000</v>
      </c>
      <c r="H95" s="259"/>
      <c r="K95" s="31"/>
      <c r="L95" s="31"/>
      <c r="M95" s="31"/>
    </row>
    <row r="96" spans="2:13" s="6" customFormat="1" ht="20.100000000000001" customHeight="1" x14ac:dyDescent="0.2">
      <c r="B96" s="89" t="str">
        <f>+E18</f>
        <v>Shyam Rathore</v>
      </c>
      <c r="C96" s="60"/>
      <c r="D96" s="303">
        <v>1500000</v>
      </c>
      <c r="E96" s="319" t="s">
        <v>166</v>
      </c>
      <c r="F96" s="320"/>
      <c r="G96" s="300">
        <f>ROUND((D96+D97+D98)*1.75,0)</f>
        <v>5250000</v>
      </c>
      <c r="H96" s="259"/>
      <c r="I96" s="34"/>
      <c r="K96" s="31"/>
      <c r="L96" s="31"/>
      <c r="M96" s="31"/>
    </row>
    <row r="97" spans="2:13" s="6" customFormat="1" ht="20.100000000000001" customHeight="1" x14ac:dyDescent="0.2">
      <c r="B97" s="89" t="str">
        <f>+F18</f>
        <v>Ram Singh</v>
      </c>
      <c r="C97" s="60"/>
      <c r="D97" s="321">
        <f>D96/E20*F20</f>
        <v>750000</v>
      </c>
      <c r="E97" s="319" t="s">
        <v>168</v>
      </c>
      <c r="F97" s="320"/>
      <c r="G97" s="300">
        <f>F92+G92</f>
        <v>1738800</v>
      </c>
      <c r="H97" s="259"/>
      <c r="I97" s="34"/>
      <c r="K97" s="31"/>
      <c r="L97" s="31"/>
      <c r="M97" s="31"/>
    </row>
    <row r="98" spans="2:13" s="6" customFormat="1" ht="20.100000000000001" customHeight="1" x14ac:dyDescent="0.2">
      <c r="B98" s="89" t="str">
        <f>+G18</f>
        <v>Pyare Mohan</v>
      </c>
      <c r="C98" s="60"/>
      <c r="D98" s="321">
        <f>D96/E20*G20</f>
        <v>750000</v>
      </c>
      <c r="E98" s="319" t="s">
        <v>500</v>
      </c>
      <c r="F98" s="320"/>
      <c r="G98" s="300">
        <f>D96+D97</f>
        <v>2250000</v>
      </c>
      <c r="H98" s="259"/>
      <c r="I98" s="34"/>
      <c r="K98" s="31"/>
      <c r="L98" s="31"/>
      <c r="M98" s="31"/>
    </row>
    <row r="99" spans="2:13" s="6" customFormat="1" ht="20.100000000000001" customHeight="1" x14ac:dyDescent="0.2">
      <c r="B99" s="42" t="s">
        <v>176</v>
      </c>
      <c r="C99" s="41"/>
      <c r="D99" s="300">
        <f>D101-D96-D97-D98</f>
        <v>16142425</v>
      </c>
      <c r="E99" s="319" t="s">
        <v>172</v>
      </c>
      <c r="F99" s="320"/>
      <c r="G99" s="300">
        <f>G96+G95+25000</f>
        <v>7315000</v>
      </c>
      <c r="H99" s="259"/>
      <c r="I99" s="5"/>
      <c r="K99" s="31"/>
      <c r="L99" s="31"/>
      <c r="M99" s="31"/>
    </row>
    <row r="100" spans="2:13" s="6" customFormat="1" ht="20.100000000000001" customHeight="1" x14ac:dyDescent="0.2">
      <c r="B100" s="62"/>
      <c r="C100" s="63"/>
      <c r="D100" s="300"/>
      <c r="E100" s="319" t="s">
        <v>174</v>
      </c>
      <c r="F100" s="320"/>
      <c r="G100" s="300">
        <f>ROUND(G99*0.075,0)</f>
        <v>548625</v>
      </c>
      <c r="H100" s="259"/>
      <c r="K100" s="31"/>
      <c r="L100" s="31"/>
      <c r="M100" s="31"/>
    </row>
    <row r="101" spans="2:13" s="6" customFormat="1" ht="20.100000000000001" customHeight="1" thickBot="1" x14ac:dyDescent="0.3">
      <c r="B101" s="88"/>
      <c r="C101" s="57"/>
      <c r="D101" s="314">
        <f>+G101</f>
        <v>19142425</v>
      </c>
      <c r="E101" s="322"/>
      <c r="F101" s="323"/>
      <c r="G101" s="314">
        <f>SUM(G95:G100)</f>
        <v>19142425</v>
      </c>
      <c r="H101" s="262"/>
      <c r="I101" s="5"/>
      <c r="K101" s="31"/>
      <c r="L101" s="31"/>
      <c r="M101" s="31"/>
    </row>
    <row r="102" spans="2:13" s="6" customFormat="1" ht="20.100000000000001" customHeight="1" thickTop="1" x14ac:dyDescent="0.2">
      <c r="B102" s="32"/>
      <c r="G102" s="243" t="s">
        <v>407</v>
      </c>
      <c r="H102" s="243"/>
      <c r="K102" s="31"/>
      <c r="L102" s="31"/>
      <c r="M102" s="31"/>
    </row>
    <row r="103" spans="2:13" s="6" customFormat="1" ht="20.100000000000001" customHeight="1" x14ac:dyDescent="0.2">
      <c r="B103" s="32"/>
      <c r="K103" s="31"/>
      <c r="L103" s="31"/>
      <c r="M103" s="31"/>
    </row>
    <row r="104" spans="2:13" s="6" customFormat="1" ht="20.100000000000001" customHeight="1" x14ac:dyDescent="0.2">
      <c r="K104" s="31"/>
      <c r="L104" s="31"/>
      <c r="M104" s="31"/>
    </row>
    <row r="105" spans="2:13" s="6" customFormat="1" ht="20.100000000000001" customHeight="1" x14ac:dyDescent="0.2">
      <c r="K105" s="31"/>
      <c r="L105" s="31"/>
      <c r="M105" s="31"/>
    </row>
    <row r="106" spans="2:13" s="6" customFormat="1" ht="20.100000000000001" customHeight="1" x14ac:dyDescent="0.2">
      <c r="K106" s="31"/>
      <c r="L106" s="31"/>
      <c r="M106" s="31"/>
    </row>
    <row r="107" spans="2:13" s="6" customFormat="1" ht="20.100000000000001" customHeight="1" x14ac:dyDescent="0.2">
      <c r="K107" s="31"/>
      <c r="L107" s="31"/>
      <c r="M107" s="31"/>
    </row>
    <row r="108" spans="2:13" s="6" customFormat="1" ht="20.100000000000001" customHeight="1" x14ac:dyDescent="0.2">
      <c r="K108" s="31"/>
      <c r="L108" s="31"/>
      <c r="M108" s="31"/>
    </row>
    <row r="109" spans="2:13" s="6" customFormat="1" ht="20.100000000000001" customHeight="1" x14ac:dyDescent="0.2">
      <c r="K109" s="31"/>
      <c r="L109" s="31"/>
      <c r="M109" s="31"/>
    </row>
    <row r="110" spans="2:13" s="6" customFormat="1" ht="20.100000000000001" customHeight="1" x14ac:dyDescent="0.2">
      <c r="K110" s="31"/>
      <c r="L110" s="31"/>
      <c r="M110" s="31"/>
    </row>
    <row r="111" spans="2:13" s="6" customFormat="1" ht="20.100000000000001" customHeight="1" x14ac:dyDescent="0.2">
      <c r="K111" s="31"/>
      <c r="L111" s="31"/>
      <c r="M111" s="31"/>
    </row>
    <row r="112" spans="2:13" s="6" customFormat="1" ht="20.100000000000001" customHeight="1" x14ac:dyDescent="0.2">
      <c r="K112" s="31"/>
      <c r="L112" s="31"/>
      <c r="M112" s="31"/>
    </row>
    <row r="113" spans="11:13" s="6" customFormat="1" ht="20.100000000000001" customHeight="1" x14ac:dyDescent="0.2">
      <c r="K113" s="31"/>
      <c r="L113" s="31"/>
      <c r="M113" s="31"/>
    </row>
    <row r="114" spans="11:13" s="6" customFormat="1" ht="20.100000000000001" customHeight="1" x14ac:dyDescent="0.2">
      <c r="K114" s="31"/>
      <c r="L114" s="31"/>
      <c r="M114" s="31"/>
    </row>
    <row r="115" spans="11:13" s="6" customFormat="1" ht="20.100000000000001" customHeight="1" x14ac:dyDescent="0.2">
      <c r="K115" s="31"/>
      <c r="L115" s="31"/>
      <c r="M115" s="31"/>
    </row>
    <row r="116" spans="11:13" s="6" customFormat="1" ht="20.100000000000001" customHeight="1" x14ac:dyDescent="0.2">
      <c r="K116" s="31"/>
      <c r="L116" s="31"/>
      <c r="M116" s="31"/>
    </row>
    <row r="117" spans="11:13" s="6" customFormat="1" ht="20.100000000000001" customHeight="1" x14ac:dyDescent="0.2">
      <c r="K117" s="31"/>
      <c r="L117" s="31"/>
      <c r="M117" s="31"/>
    </row>
    <row r="118" spans="11:13" s="6" customFormat="1" ht="20.100000000000001" customHeight="1" x14ac:dyDescent="0.2">
      <c r="K118" s="31"/>
      <c r="L118" s="31"/>
      <c r="M118" s="31"/>
    </row>
    <row r="119" spans="11:13" s="6" customFormat="1" ht="20.100000000000001" customHeight="1" x14ac:dyDescent="0.2">
      <c r="K119" s="31"/>
      <c r="L119" s="31"/>
      <c r="M119" s="31"/>
    </row>
    <row r="120" spans="11:13" s="6" customFormat="1" ht="20.100000000000001" customHeight="1" x14ac:dyDescent="0.2">
      <c r="K120" s="31"/>
      <c r="L120" s="31"/>
      <c r="M120" s="31"/>
    </row>
    <row r="121" spans="11:13" s="6" customFormat="1" ht="20.100000000000001" customHeight="1" x14ac:dyDescent="0.2">
      <c r="K121" s="31"/>
      <c r="L121" s="31"/>
      <c r="M121" s="31"/>
    </row>
    <row r="122" spans="11:13" s="6" customFormat="1" ht="20.100000000000001" customHeight="1" x14ac:dyDescent="0.2">
      <c r="K122" s="31"/>
      <c r="L122" s="31"/>
      <c r="M122" s="31"/>
    </row>
    <row r="123" spans="11:13" s="6" customFormat="1" ht="20.100000000000001" customHeight="1" x14ac:dyDescent="0.2">
      <c r="K123" s="31"/>
      <c r="L123" s="31"/>
      <c r="M123" s="31"/>
    </row>
    <row r="124" spans="11:13" s="6" customFormat="1" ht="20.100000000000001" customHeight="1" x14ac:dyDescent="0.2">
      <c r="K124" s="31"/>
      <c r="L124" s="31"/>
      <c r="M124" s="31"/>
    </row>
    <row r="125" spans="11:13" s="6" customFormat="1" ht="20.100000000000001" customHeight="1" x14ac:dyDescent="0.2">
      <c r="K125" s="31"/>
      <c r="L125" s="31"/>
      <c r="M125" s="31"/>
    </row>
    <row r="126" spans="11:13" s="6" customFormat="1" ht="20.100000000000001" customHeight="1" x14ac:dyDescent="0.2">
      <c r="K126" s="31"/>
      <c r="L126" s="31"/>
      <c r="M126" s="31"/>
    </row>
    <row r="127" spans="11:13" s="6" customFormat="1" ht="20.100000000000001" customHeight="1" x14ac:dyDescent="0.2">
      <c r="K127" s="31"/>
      <c r="L127" s="31"/>
      <c r="M127" s="31"/>
    </row>
    <row r="128" spans="11:13" s="6" customFormat="1" ht="20.100000000000001" customHeight="1" x14ac:dyDescent="0.2">
      <c r="K128" s="31"/>
      <c r="L128" s="31"/>
      <c r="M128" s="31"/>
    </row>
    <row r="129" spans="11:13" s="6" customFormat="1" ht="20.100000000000001" customHeight="1" x14ac:dyDescent="0.2">
      <c r="K129" s="31"/>
      <c r="L129" s="31"/>
      <c r="M129" s="31"/>
    </row>
    <row r="130" spans="11:13" s="6" customFormat="1" ht="20.100000000000001" customHeight="1" x14ac:dyDescent="0.2">
      <c r="K130" s="31"/>
      <c r="L130" s="31"/>
      <c r="M130" s="31"/>
    </row>
    <row r="131" spans="11:13" s="6" customFormat="1" ht="20.100000000000001" customHeight="1" x14ac:dyDescent="0.2">
      <c r="K131" s="31"/>
      <c r="L131" s="31"/>
      <c r="M131" s="31"/>
    </row>
    <row r="132" spans="11:13" s="6" customFormat="1" ht="20.100000000000001" customHeight="1" x14ac:dyDescent="0.2">
      <c r="K132" s="31"/>
      <c r="L132" s="31"/>
      <c r="M132" s="31"/>
    </row>
    <row r="133" spans="11:13" s="6" customFormat="1" ht="20.100000000000001" customHeight="1" x14ac:dyDescent="0.2">
      <c r="K133" s="31"/>
      <c r="L133" s="31"/>
      <c r="M133" s="31"/>
    </row>
    <row r="134" spans="11:13" s="6" customFormat="1" ht="20.100000000000001" customHeight="1" x14ac:dyDescent="0.2">
      <c r="K134" s="31"/>
      <c r="L134" s="31"/>
      <c r="M134" s="31"/>
    </row>
    <row r="135" spans="11:13" s="6" customFormat="1" ht="20.100000000000001" customHeight="1" x14ac:dyDescent="0.2">
      <c r="K135" s="31"/>
      <c r="L135" s="31"/>
      <c r="M135" s="31"/>
    </row>
    <row r="136" spans="11:13" s="6" customFormat="1" ht="20.100000000000001" customHeight="1" x14ac:dyDescent="0.2">
      <c r="K136" s="31"/>
      <c r="L136" s="31"/>
      <c r="M136" s="31"/>
    </row>
    <row r="137" spans="11:13" s="6" customFormat="1" ht="20.100000000000001" customHeight="1" x14ac:dyDescent="0.2">
      <c r="K137" s="31"/>
      <c r="L137" s="31"/>
      <c r="M137" s="31"/>
    </row>
    <row r="138" spans="11:13" s="6" customFormat="1" ht="20.100000000000001" customHeight="1" x14ac:dyDescent="0.2">
      <c r="K138" s="31"/>
      <c r="L138" s="31"/>
      <c r="M138" s="31"/>
    </row>
    <row r="139" spans="11:13" s="6" customFormat="1" ht="20.100000000000001" customHeight="1" x14ac:dyDescent="0.2">
      <c r="K139" s="31"/>
      <c r="L139" s="31"/>
      <c r="M139" s="31"/>
    </row>
    <row r="140" spans="11:13" s="6" customFormat="1" ht="20.100000000000001" customHeight="1" x14ac:dyDescent="0.2">
      <c r="K140" s="31"/>
      <c r="L140" s="31"/>
      <c r="M140" s="31"/>
    </row>
    <row r="141" spans="11:13" s="6" customFormat="1" ht="20.100000000000001" customHeight="1" x14ac:dyDescent="0.2">
      <c r="K141" s="31"/>
      <c r="L141" s="31"/>
      <c r="M141" s="31"/>
    </row>
    <row r="142" spans="11:13" s="6" customFormat="1" ht="20.100000000000001" customHeight="1" x14ac:dyDescent="0.2">
      <c r="K142" s="31"/>
      <c r="L142" s="31"/>
      <c r="M142" s="31"/>
    </row>
  </sheetData>
  <mergeCells count="30">
    <mergeCell ref="D30:E30"/>
    <mergeCell ref="F30:G30"/>
    <mergeCell ref="B94:G94"/>
    <mergeCell ref="B48:F48"/>
    <mergeCell ref="B54:G54"/>
    <mergeCell ref="B56:G56"/>
    <mergeCell ref="B81:C81"/>
    <mergeCell ref="B93:G93"/>
    <mergeCell ref="B28:C28"/>
    <mergeCell ref="D28:E28"/>
    <mergeCell ref="F28:G28"/>
    <mergeCell ref="B29:C29"/>
    <mergeCell ref="D29:E29"/>
    <mergeCell ref="F29:G29"/>
    <mergeCell ref="B15:D15"/>
    <mergeCell ref="J70:K70"/>
    <mergeCell ref="B55:G55"/>
    <mergeCell ref="I2:M2"/>
    <mergeCell ref="B1:G1"/>
    <mergeCell ref="B2:G2"/>
    <mergeCell ref="B3:G3"/>
    <mergeCell ref="E6:G6"/>
    <mergeCell ref="E15:G15"/>
    <mergeCell ref="J21:K21"/>
    <mergeCell ref="D26:E26"/>
    <mergeCell ref="F26:G26"/>
    <mergeCell ref="B35:G35"/>
    <mergeCell ref="B27:C27"/>
    <mergeCell ref="D27:E27"/>
    <mergeCell ref="F27:G27"/>
  </mergeCells>
  <printOptions horizontalCentered="1"/>
  <pageMargins left="0" right="0" top="0" bottom="0" header="0" footer="0"/>
  <pageSetup paperSize="9" fitToHeight="0" orientation="portrait" r:id="rId1"/>
  <rowBreaks count="1" manualBreakCount="1">
    <brk id="39" min="1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47"/>
  <sheetViews>
    <sheetView topLeftCell="A22" zoomScaleNormal="100" workbookViewId="0">
      <selection activeCell="J26" sqref="J26"/>
    </sheetView>
  </sheetViews>
  <sheetFormatPr defaultColWidth="15.7109375" defaultRowHeight="20.100000000000001" customHeight="1" x14ac:dyDescent="0.2"/>
  <cols>
    <col min="1" max="1" width="4.140625" style="387" customWidth="1"/>
    <col min="2" max="3" width="15.7109375" style="387" customWidth="1"/>
    <col min="4" max="4" width="16.42578125" style="387" customWidth="1"/>
    <col min="5" max="5" width="15.7109375" style="387"/>
    <col min="6" max="6" width="16.42578125" style="387" customWidth="1"/>
    <col min="7" max="7" width="15.7109375" style="387"/>
    <col min="8" max="8" width="2.7109375" style="387" customWidth="1"/>
    <col min="9" max="9" width="11" style="387" customWidth="1"/>
    <col min="10" max="10" width="22.42578125" style="387" customWidth="1"/>
    <col min="11" max="16384" width="15.7109375" style="387"/>
  </cols>
  <sheetData>
    <row r="1" spans="2:14" ht="20.100000000000001" customHeight="1" x14ac:dyDescent="0.2">
      <c r="B1" s="591" t="s">
        <v>523</v>
      </c>
      <c r="C1" s="591"/>
      <c r="D1" s="591"/>
      <c r="E1" s="591"/>
      <c r="F1" s="591"/>
      <c r="G1" s="591"/>
      <c r="H1" s="407"/>
    </row>
    <row r="2" spans="2:14" ht="16.5" customHeight="1" x14ac:dyDescent="0.2">
      <c r="B2" s="592" t="s">
        <v>525</v>
      </c>
      <c r="C2" s="592"/>
      <c r="D2" s="592"/>
      <c r="E2" s="592"/>
      <c r="F2" s="592"/>
      <c r="G2" s="592"/>
      <c r="H2" s="408"/>
      <c r="I2" s="593" t="s">
        <v>524</v>
      </c>
      <c r="J2" s="593"/>
      <c r="K2" s="593"/>
      <c r="L2" s="593"/>
      <c r="M2" s="593"/>
      <c r="N2" s="408"/>
    </row>
    <row r="3" spans="2:14" ht="16.5" customHeight="1" x14ac:dyDescent="0.25">
      <c r="B3" s="577" t="s">
        <v>574</v>
      </c>
      <c r="C3" s="577"/>
      <c r="D3" s="577"/>
      <c r="E3" s="577"/>
      <c r="F3" s="577"/>
      <c r="G3" s="577"/>
      <c r="H3" s="409"/>
      <c r="I3" s="388" t="s">
        <v>239</v>
      </c>
      <c r="J3" s="377"/>
      <c r="K3" s="377"/>
      <c r="L3" s="377"/>
      <c r="M3" s="377"/>
    </row>
    <row r="4" spans="2:14" s="377" customFormat="1" ht="18.95" customHeight="1" x14ac:dyDescent="0.2">
      <c r="B4" s="410" t="s">
        <v>1</v>
      </c>
      <c r="C4" s="411"/>
      <c r="D4" s="412"/>
      <c r="E4" s="410" t="s">
        <v>432</v>
      </c>
      <c r="F4" s="413"/>
      <c r="G4" s="414"/>
      <c r="H4" s="415"/>
      <c r="I4" s="389"/>
      <c r="J4" s="377" t="s">
        <v>240</v>
      </c>
      <c r="K4" s="390" t="s">
        <v>242</v>
      </c>
      <c r="L4" s="377">
        <f>+G36</f>
        <v>600000</v>
      </c>
    </row>
    <row r="5" spans="2:14" s="377" customFormat="1" ht="15.75" customHeight="1" x14ac:dyDescent="0.2">
      <c r="B5" s="416" t="s">
        <v>491</v>
      </c>
      <c r="C5" s="369"/>
      <c r="D5" s="417"/>
      <c r="E5" s="459">
        <v>40299</v>
      </c>
      <c r="F5" s="415"/>
      <c r="G5" s="419"/>
      <c r="H5" s="415"/>
      <c r="J5" s="377" t="s">
        <v>246</v>
      </c>
      <c r="L5" s="391">
        <f>+G37*0</f>
        <v>0</v>
      </c>
    </row>
    <row r="6" spans="2:14" s="377" customFormat="1" ht="18.95" customHeight="1" x14ac:dyDescent="0.2">
      <c r="B6" s="416" t="s">
        <v>3</v>
      </c>
      <c r="C6" s="369"/>
      <c r="D6" s="417"/>
      <c r="E6" s="578" t="s">
        <v>404</v>
      </c>
      <c r="F6" s="579"/>
      <c r="G6" s="580"/>
      <c r="H6" s="420"/>
      <c r="K6" s="390" t="s">
        <v>241</v>
      </c>
      <c r="L6" s="377">
        <f>L4-L5</f>
        <v>600000</v>
      </c>
    </row>
    <row r="7" spans="2:14" s="377" customFormat="1" ht="18.95" customHeight="1" x14ac:dyDescent="0.2">
      <c r="B7" s="418" t="s">
        <v>4</v>
      </c>
      <c r="C7" s="369"/>
      <c r="D7" s="417"/>
      <c r="E7" s="418" t="s">
        <v>444</v>
      </c>
      <c r="F7" s="415"/>
      <c r="G7" s="419"/>
      <c r="H7" s="415"/>
      <c r="I7" s="389"/>
      <c r="J7" s="377" t="s">
        <v>244</v>
      </c>
      <c r="K7" s="392">
        <f>ROUND(L6*0.3,0)</f>
        <v>180000</v>
      </c>
    </row>
    <row r="8" spans="2:14" s="377" customFormat="1" ht="18.95" customHeight="1" x14ac:dyDescent="0.2">
      <c r="B8" s="418" t="s">
        <v>5</v>
      </c>
      <c r="C8" s="369"/>
      <c r="D8" s="417"/>
      <c r="E8" s="418">
        <v>9811116835</v>
      </c>
      <c r="F8" s="415"/>
      <c r="G8" s="419"/>
      <c r="H8" s="415"/>
      <c r="J8" s="377" t="s">
        <v>243</v>
      </c>
      <c r="K8" s="393">
        <f>+G38</f>
        <v>750000</v>
      </c>
      <c r="L8" s="391">
        <f>K7+K8</f>
        <v>930000</v>
      </c>
    </row>
    <row r="9" spans="2:14" s="377" customFormat="1" ht="18.95" customHeight="1" x14ac:dyDescent="0.25">
      <c r="B9" s="418" t="s">
        <v>6</v>
      </c>
      <c r="C9" s="369"/>
      <c r="D9" s="417"/>
      <c r="E9" s="418" t="s">
        <v>518</v>
      </c>
      <c r="F9" s="415"/>
      <c r="G9" s="419"/>
      <c r="H9" s="415"/>
      <c r="J9" s="482" t="s">
        <v>530</v>
      </c>
      <c r="L9" s="482">
        <v>130000</v>
      </c>
      <c r="M9" s="376">
        <f>L6-L8+130000</f>
        <v>-200000</v>
      </c>
    </row>
    <row r="10" spans="2:14" s="377" customFormat="1" ht="18.95" customHeight="1" x14ac:dyDescent="0.25">
      <c r="B10" s="418" t="s">
        <v>10</v>
      </c>
      <c r="C10" s="369"/>
      <c r="D10" s="417"/>
      <c r="E10" s="418" t="s">
        <v>11</v>
      </c>
      <c r="F10" s="415"/>
      <c r="G10" s="419"/>
      <c r="H10" s="415"/>
      <c r="I10" s="388" t="s">
        <v>245</v>
      </c>
    </row>
    <row r="11" spans="2:14" s="377" customFormat="1" ht="18.95" customHeight="1" x14ac:dyDescent="0.25">
      <c r="B11" s="418" t="s">
        <v>12</v>
      </c>
      <c r="C11" s="369"/>
      <c r="D11" s="417"/>
      <c r="E11" s="421" t="s">
        <v>184</v>
      </c>
      <c r="F11" s="422"/>
      <c r="G11" s="423"/>
      <c r="H11" s="422"/>
      <c r="I11" s="394">
        <v>280</v>
      </c>
      <c r="J11" s="377" t="s">
        <v>452</v>
      </c>
      <c r="K11" s="459">
        <f>+F41</f>
        <v>43527</v>
      </c>
      <c r="L11" s="377">
        <f>+G42</f>
        <v>8480000</v>
      </c>
    </row>
    <row r="12" spans="2:14" s="377" customFormat="1" ht="18.95" customHeight="1" x14ac:dyDescent="0.2">
      <c r="B12" s="418" t="s">
        <v>14</v>
      </c>
      <c r="C12" s="369"/>
      <c r="D12" s="417"/>
      <c r="E12" s="418" t="s">
        <v>177</v>
      </c>
      <c r="F12" s="415"/>
      <c r="G12" s="419"/>
      <c r="H12" s="415"/>
      <c r="I12" s="395"/>
      <c r="J12" s="377" t="s">
        <v>251</v>
      </c>
      <c r="L12" s="377">
        <f>(+G43)*-1</f>
        <v>-80000</v>
      </c>
    </row>
    <row r="13" spans="2:14" s="377" customFormat="1" ht="18.95" customHeight="1" x14ac:dyDescent="0.2">
      <c r="B13" s="418" t="s">
        <v>292</v>
      </c>
      <c r="C13" s="369"/>
      <c r="D13" s="417"/>
      <c r="E13" s="418" t="s">
        <v>231</v>
      </c>
      <c r="F13" s="415"/>
      <c r="G13" s="419"/>
      <c r="H13" s="415"/>
      <c r="I13" s="395">
        <v>105</v>
      </c>
      <c r="J13" s="377" t="s">
        <v>453</v>
      </c>
      <c r="K13" s="396"/>
      <c r="L13" s="391">
        <f>ROUND((G44*I11/I13)*-1,0)</f>
        <v>-2133333</v>
      </c>
    </row>
    <row r="14" spans="2:14" s="377" customFormat="1" ht="18.95" customHeight="1" x14ac:dyDescent="0.2">
      <c r="B14" s="424" t="s">
        <v>290</v>
      </c>
      <c r="C14" s="369"/>
      <c r="D14" s="417"/>
      <c r="E14" s="418" t="s">
        <v>182</v>
      </c>
      <c r="F14" s="415"/>
      <c r="G14" s="419"/>
      <c r="H14" s="415"/>
      <c r="I14" s="397"/>
      <c r="L14" s="377">
        <f>SUM(L11:L13)</f>
        <v>6266667</v>
      </c>
    </row>
    <row r="15" spans="2:14" s="377" customFormat="1" ht="30" customHeight="1" x14ac:dyDescent="0.25">
      <c r="B15" s="425" t="s">
        <v>527</v>
      </c>
      <c r="C15" s="369"/>
      <c r="D15" s="417"/>
      <c r="E15" s="581" t="s">
        <v>543</v>
      </c>
      <c r="F15" s="582"/>
      <c r="G15" s="583"/>
      <c r="H15" s="426"/>
      <c r="I15" s="459">
        <f>+F45</f>
        <v>43617</v>
      </c>
      <c r="J15" s="377" t="s">
        <v>454</v>
      </c>
      <c r="L15" s="391">
        <f>+G45-200000</f>
        <v>5000000</v>
      </c>
      <c r="M15" s="376">
        <f>L14-L15</f>
        <v>1266667</v>
      </c>
    </row>
    <row r="16" spans="2:14" s="377" customFormat="1" ht="18.95" customHeight="1" x14ac:dyDescent="0.25">
      <c r="B16" s="427"/>
      <c r="C16" s="391"/>
      <c r="D16" s="428"/>
      <c r="E16" s="427"/>
      <c r="F16" s="429"/>
      <c r="G16" s="430"/>
      <c r="H16" s="415"/>
      <c r="I16" s="388" t="s">
        <v>254</v>
      </c>
    </row>
    <row r="17" spans="2:13" s="377" customFormat="1" ht="20.100000000000001" customHeight="1" x14ac:dyDescent="0.2">
      <c r="B17" s="378" t="s">
        <v>234</v>
      </c>
      <c r="F17" s="386"/>
      <c r="J17" s="377" t="s">
        <v>440</v>
      </c>
    </row>
    <row r="18" spans="2:13" s="377" customFormat="1" ht="20.100000000000001" customHeight="1" x14ac:dyDescent="0.25">
      <c r="B18" s="431" t="s">
        <v>25</v>
      </c>
      <c r="C18" s="381"/>
      <c r="D18" s="382"/>
      <c r="E18" s="432" t="s">
        <v>433</v>
      </c>
      <c r="F18" s="386" t="s">
        <v>434</v>
      </c>
      <c r="G18" s="386" t="s">
        <v>519</v>
      </c>
      <c r="H18" s="366"/>
      <c r="J18" s="377" t="s">
        <v>255</v>
      </c>
      <c r="M18" s="376">
        <f>+G48</f>
        <v>30000</v>
      </c>
    </row>
    <row r="19" spans="2:13" s="377" customFormat="1" ht="20.100000000000001" customHeight="1" x14ac:dyDescent="0.25">
      <c r="B19" s="431" t="s">
        <v>29</v>
      </c>
      <c r="C19" s="381"/>
      <c r="D19" s="382"/>
      <c r="E19" s="459">
        <f>+E5</f>
        <v>40299</v>
      </c>
      <c r="F19" s="459">
        <f>+E19</f>
        <v>40299</v>
      </c>
      <c r="G19" s="459">
        <f>+E19</f>
        <v>40299</v>
      </c>
      <c r="H19" s="366"/>
      <c r="I19" s="388" t="s">
        <v>257</v>
      </c>
    </row>
    <row r="20" spans="2:13" s="377" customFormat="1" ht="20.100000000000001" customHeight="1" x14ac:dyDescent="0.2">
      <c r="B20" s="431" t="s">
        <v>31</v>
      </c>
      <c r="C20" s="381"/>
      <c r="D20" s="382"/>
      <c r="E20" s="234">
        <v>0.4</v>
      </c>
      <c r="F20" s="234">
        <v>0.4</v>
      </c>
      <c r="G20" s="234">
        <v>0.2</v>
      </c>
      <c r="H20" s="366"/>
      <c r="I20" s="389"/>
      <c r="J20" s="377" t="s">
        <v>278</v>
      </c>
      <c r="L20" s="377">
        <f>+K33</f>
        <v>5243750</v>
      </c>
    </row>
    <row r="21" spans="2:13" s="377" customFormat="1" ht="51" customHeight="1" x14ac:dyDescent="0.25">
      <c r="B21" s="433" t="s">
        <v>235</v>
      </c>
      <c r="C21" s="381"/>
      <c r="D21" s="382"/>
      <c r="E21" s="434" t="s">
        <v>404</v>
      </c>
      <c r="F21" s="434" t="s">
        <v>401</v>
      </c>
      <c r="G21" s="434" t="s">
        <v>400</v>
      </c>
      <c r="H21" s="435"/>
      <c r="J21" s="587" t="s">
        <v>279</v>
      </c>
      <c r="K21" s="587"/>
      <c r="L21" s="391">
        <f>+K32</f>
        <v>1800000</v>
      </c>
      <c r="M21" s="376">
        <f>L20-L21</f>
        <v>3443750</v>
      </c>
    </row>
    <row r="22" spans="2:13" s="377" customFormat="1" ht="20.100000000000001" customHeight="1" x14ac:dyDescent="0.2">
      <c r="B22" s="436" t="s">
        <v>4</v>
      </c>
      <c r="C22" s="391"/>
      <c r="D22" s="428"/>
      <c r="E22" s="386" t="s">
        <v>37</v>
      </c>
      <c r="F22" s="386" t="s">
        <v>435</v>
      </c>
      <c r="G22" s="386" t="s">
        <v>520</v>
      </c>
      <c r="H22" s="366"/>
      <c r="J22" s="377" t="s">
        <v>272</v>
      </c>
      <c r="K22" s="377">
        <f>+D81</f>
        <v>1856200</v>
      </c>
    </row>
    <row r="23" spans="2:13" s="377" customFormat="1" ht="20.100000000000001" customHeight="1" x14ac:dyDescent="0.2">
      <c r="B23" s="418" t="s">
        <v>39</v>
      </c>
      <c r="C23" s="369"/>
      <c r="D23" s="369"/>
      <c r="E23" s="369" t="str">
        <f>+E18</f>
        <v xml:space="preserve">Siddharth </v>
      </c>
      <c r="F23" s="369"/>
      <c r="G23" s="417"/>
      <c r="H23" s="369"/>
      <c r="I23" s="398" t="s">
        <v>412</v>
      </c>
      <c r="J23" s="316" t="s">
        <v>447</v>
      </c>
      <c r="K23" s="377">
        <f>+G85</f>
        <v>67500</v>
      </c>
      <c r="L23" s="390" t="s">
        <v>582</v>
      </c>
    </row>
    <row r="24" spans="2:13" s="377" customFormat="1" ht="20.100000000000001" customHeight="1" x14ac:dyDescent="0.2">
      <c r="B24" s="427" t="s">
        <v>237</v>
      </c>
      <c r="C24" s="391"/>
      <c r="D24" s="391"/>
      <c r="E24" s="391" t="s">
        <v>542</v>
      </c>
      <c r="F24" s="391"/>
      <c r="G24" s="428"/>
      <c r="H24" s="369"/>
      <c r="I24" s="390" t="s">
        <v>413</v>
      </c>
      <c r="J24" s="377" t="s">
        <v>446</v>
      </c>
      <c r="K24" s="377">
        <f>G87</f>
        <v>1200000</v>
      </c>
      <c r="L24" s="390" t="s">
        <v>583</v>
      </c>
    </row>
    <row r="25" spans="2:13" s="377" customFormat="1" ht="20.100000000000001" customHeight="1" x14ac:dyDescent="0.2">
      <c r="B25" s="378" t="s">
        <v>197</v>
      </c>
      <c r="E25" s="390"/>
      <c r="F25" s="390" t="s">
        <v>238</v>
      </c>
      <c r="I25" s="390" t="s">
        <v>386</v>
      </c>
      <c r="J25" s="377" t="s">
        <v>387</v>
      </c>
      <c r="K25" s="377">
        <f>G86*1</f>
        <v>10000</v>
      </c>
      <c r="L25" s="390" t="s">
        <v>582</v>
      </c>
    </row>
    <row r="26" spans="2:13" s="377" customFormat="1" ht="20.100000000000001" customHeight="1" x14ac:dyDescent="0.2">
      <c r="B26" s="437" t="s">
        <v>43</v>
      </c>
      <c r="C26" s="438"/>
      <c r="D26" s="588" t="s">
        <v>45</v>
      </c>
      <c r="E26" s="588"/>
      <c r="F26" s="588" t="s">
        <v>227</v>
      </c>
      <c r="G26" s="588"/>
      <c r="H26" s="439"/>
      <c r="I26" s="390" t="s">
        <v>448</v>
      </c>
      <c r="J26" s="377" t="s">
        <v>403</v>
      </c>
      <c r="K26" s="377">
        <f>G88*-1</f>
        <v>-10000</v>
      </c>
      <c r="L26" s="390" t="s">
        <v>584</v>
      </c>
    </row>
    <row r="27" spans="2:13" s="377" customFormat="1" ht="20.100000000000001" customHeight="1" x14ac:dyDescent="0.2">
      <c r="B27" s="589" t="s">
        <v>47</v>
      </c>
      <c r="C27" s="590"/>
      <c r="D27" s="584">
        <v>25478963254</v>
      </c>
      <c r="E27" s="584"/>
      <c r="F27" s="584">
        <v>32568457835</v>
      </c>
      <c r="G27" s="584"/>
      <c r="H27" s="366"/>
      <c r="I27" s="377" t="s">
        <v>571</v>
      </c>
      <c r="J27" s="377" t="s">
        <v>259</v>
      </c>
      <c r="K27" s="377">
        <f>+D77</f>
        <v>274050</v>
      </c>
      <c r="L27" s="390" t="s">
        <v>410</v>
      </c>
    </row>
    <row r="28" spans="2:13" s="377" customFormat="1" ht="20.100000000000001" customHeight="1" x14ac:dyDescent="0.2">
      <c r="B28" s="589" t="s">
        <v>48</v>
      </c>
      <c r="C28" s="590"/>
      <c r="D28" s="584" t="s">
        <v>211</v>
      </c>
      <c r="E28" s="584"/>
      <c r="F28" s="584" t="s">
        <v>212</v>
      </c>
      <c r="G28" s="584"/>
      <c r="H28" s="366"/>
      <c r="I28" s="390" t="s">
        <v>581</v>
      </c>
      <c r="J28" s="377" t="s">
        <v>260</v>
      </c>
      <c r="K28" s="377">
        <f>(+K57+L57)*-1</f>
        <v>-304000</v>
      </c>
      <c r="L28" s="390" t="s">
        <v>411</v>
      </c>
    </row>
    <row r="29" spans="2:13" s="377" customFormat="1" ht="20.100000000000001" customHeight="1" x14ac:dyDescent="0.2">
      <c r="B29" s="589" t="s">
        <v>51</v>
      </c>
      <c r="C29" s="590"/>
      <c r="D29" s="584" t="s">
        <v>52</v>
      </c>
      <c r="E29" s="584"/>
      <c r="F29" s="584" t="s">
        <v>52</v>
      </c>
      <c r="G29" s="584"/>
      <c r="H29" s="366"/>
      <c r="I29" s="390" t="s">
        <v>271</v>
      </c>
      <c r="J29" s="377" t="s">
        <v>267</v>
      </c>
      <c r="K29" s="369">
        <f>+G49</f>
        <v>100000</v>
      </c>
      <c r="L29" s="390" t="s">
        <v>585</v>
      </c>
    </row>
    <row r="30" spans="2:13" s="377" customFormat="1" ht="20.100000000000001" customHeight="1" x14ac:dyDescent="0.2">
      <c r="B30" s="440" t="s">
        <v>228</v>
      </c>
      <c r="C30" s="440"/>
      <c r="D30" s="584"/>
      <c r="E30" s="584"/>
      <c r="F30" s="584" t="s">
        <v>182</v>
      </c>
      <c r="G30" s="584"/>
      <c r="H30" s="366"/>
      <c r="I30" s="390" t="s">
        <v>418</v>
      </c>
      <c r="J30" s="377" t="s">
        <v>261</v>
      </c>
      <c r="K30" s="391">
        <f>D78-(D99+D100+D101)*0.12</f>
        <v>250000.00000000023</v>
      </c>
      <c r="L30" s="390" t="s">
        <v>583</v>
      </c>
    </row>
    <row r="31" spans="2:13" s="377" customFormat="1" ht="20.100000000000001" customHeight="1" x14ac:dyDescent="0.25">
      <c r="B31" s="378" t="s">
        <v>55</v>
      </c>
      <c r="F31" s="459">
        <v>43756</v>
      </c>
      <c r="I31" s="390"/>
      <c r="J31" s="376" t="s">
        <v>273</v>
      </c>
      <c r="K31" s="376">
        <f>SUM(K22:K30)</f>
        <v>3443750</v>
      </c>
    </row>
    <row r="32" spans="2:13" s="377" customFormat="1" ht="20.100000000000001" customHeight="1" x14ac:dyDescent="0.2">
      <c r="B32" s="378" t="s">
        <v>56</v>
      </c>
      <c r="F32" s="390" t="s">
        <v>57</v>
      </c>
      <c r="J32" s="377" t="s">
        <v>275</v>
      </c>
      <c r="K32" s="377">
        <f>+D79</f>
        <v>1800000</v>
      </c>
    </row>
    <row r="33" spans="2:13" s="377" customFormat="1" ht="20.100000000000001" customHeight="1" thickBot="1" x14ac:dyDescent="0.3">
      <c r="B33" s="376" t="s">
        <v>198</v>
      </c>
      <c r="E33" s="389"/>
      <c r="J33" s="377" t="s">
        <v>274</v>
      </c>
      <c r="K33" s="399">
        <f>K32+K31</f>
        <v>5243750</v>
      </c>
    </row>
    <row r="34" spans="2:13" s="377" customFormat="1" ht="20.100000000000001" customHeight="1" thickTop="1" x14ac:dyDescent="0.25">
      <c r="B34" s="441" t="s">
        <v>59</v>
      </c>
      <c r="C34" s="411"/>
      <c r="D34" s="411"/>
      <c r="E34" s="442"/>
      <c r="F34" s="411"/>
      <c r="G34" s="412"/>
      <c r="H34" s="369"/>
      <c r="I34" s="400" t="s">
        <v>276</v>
      </c>
      <c r="J34" s="377" t="s">
        <v>318</v>
      </c>
      <c r="K34" s="377">
        <f>300000*0.9</f>
        <v>270000</v>
      </c>
    </row>
    <row r="35" spans="2:13" s="377" customFormat="1" ht="30" customHeight="1" x14ac:dyDescent="0.2">
      <c r="B35" s="581" t="s">
        <v>537</v>
      </c>
      <c r="C35" s="582"/>
      <c r="D35" s="582"/>
      <c r="E35" s="582"/>
      <c r="F35" s="582"/>
      <c r="G35" s="583"/>
      <c r="H35" s="426"/>
      <c r="J35" s="377" t="s">
        <v>317</v>
      </c>
      <c r="K35" s="377">
        <f>(K33-300000)*0.6</f>
        <v>2966250</v>
      </c>
    </row>
    <row r="36" spans="2:13" s="377" customFormat="1" ht="20.100000000000001" customHeight="1" thickBot="1" x14ac:dyDescent="0.3">
      <c r="B36" s="418" t="s">
        <v>443</v>
      </c>
      <c r="C36" s="443"/>
      <c r="D36" s="443"/>
      <c r="E36" s="443"/>
      <c r="F36" s="443"/>
      <c r="G36" s="405">
        <v>600000</v>
      </c>
      <c r="H36" s="444"/>
      <c r="J36" s="377" t="s">
        <v>277</v>
      </c>
      <c r="K36" s="399">
        <f>SUM(K34:K35)</f>
        <v>3236250</v>
      </c>
    </row>
    <row r="37" spans="2:13" s="377" customFormat="1" ht="20.100000000000001" customHeight="1" thickTop="1" x14ac:dyDescent="0.2">
      <c r="B37" s="418" t="s">
        <v>437</v>
      </c>
      <c r="C37" s="369"/>
      <c r="D37" s="369"/>
      <c r="E37" s="369"/>
      <c r="F37" s="366"/>
      <c r="G37" s="405">
        <f>ROUND(G36*0.05,0)</f>
        <v>30000</v>
      </c>
      <c r="H37" s="444"/>
    </row>
    <row r="38" spans="2:13" s="377" customFormat="1" ht="20.100000000000001" customHeight="1" x14ac:dyDescent="0.25">
      <c r="B38" s="418" t="s">
        <v>63</v>
      </c>
      <c r="C38" s="369"/>
      <c r="D38" s="369"/>
      <c r="E38" s="369"/>
      <c r="F38" s="366"/>
      <c r="G38" s="405">
        <f>ROUND(G36*1.25,0)</f>
        <v>750000</v>
      </c>
      <c r="H38" s="444"/>
      <c r="I38" s="390"/>
      <c r="K38" s="483"/>
      <c r="L38" s="484" t="s">
        <v>280</v>
      </c>
      <c r="M38" s="376">
        <f>SUM(M3:M37)</f>
        <v>4540417</v>
      </c>
    </row>
    <row r="39" spans="2:13" s="377" customFormat="1" ht="20.100000000000001" customHeight="1" x14ac:dyDescent="0.2">
      <c r="B39" s="427" t="s">
        <v>521</v>
      </c>
      <c r="C39" s="391"/>
      <c r="D39" s="391"/>
      <c r="E39" s="391"/>
      <c r="F39" s="445">
        <f>ROUND(+G36/10,0)</f>
        <v>60000</v>
      </c>
      <c r="G39" s="446"/>
      <c r="H39" s="447"/>
      <c r="I39" s="390"/>
      <c r="K39" s="480"/>
      <c r="L39" s="392" t="s">
        <v>281</v>
      </c>
      <c r="M39" s="377">
        <f>+G49</f>
        <v>100000</v>
      </c>
    </row>
    <row r="40" spans="2:13" s="377" customFormat="1" ht="20.100000000000001" customHeight="1" x14ac:dyDescent="0.25">
      <c r="B40" s="441" t="s">
        <v>204</v>
      </c>
      <c r="C40" s="411"/>
      <c r="D40" s="411"/>
      <c r="E40" s="411"/>
      <c r="F40" s="448"/>
      <c r="G40" s="404"/>
      <c r="H40" s="444"/>
      <c r="I40" s="390"/>
      <c r="K40" s="480"/>
      <c r="L40" s="484" t="s">
        <v>409</v>
      </c>
      <c r="M40" s="377">
        <f>M38-M39</f>
        <v>4440417</v>
      </c>
    </row>
    <row r="41" spans="2:13" s="377" customFormat="1" ht="20.100000000000001" customHeight="1" x14ac:dyDescent="0.2">
      <c r="B41" s="418" t="s">
        <v>442</v>
      </c>
      <c r="C41" s="369"/>
      <c r="D41" s="369" t="s">
        <v>478</v>
      </c>
      <c r="F41" s="459">
        <v>43527</v>
      </c>
      <c r="G41" s="405">
        <v>8000000</v>
      </c>
      <c r="H41" s="444"/>
      <c r="I41" s="390"/>
      <c r="J41" s="401" t="s">
        <v>282</v>
      </c>
      <c r="K41" s="481">
        <v>0.3</v>
      </c>
      <c r="L41" s="377">
        <f>ROUND((M40-M15)*0.3,0)</f>
        <v>952125</v>
      </c>
    </row>
    <row r="42" spans="2:13" s="377" customFormat="1" ht="18.75" customHeight="1" x14ac:dyDescent="0.2">
      <c r="B42" s="418" t="s">
        <v>69</v>
      </c>
      <c r="C42" s="369"/>
      <c r="D42" s="369" t="s">
        <v>526</v>
      </c>
      <c r="E42" s="369"/>
      <c r="F42" s="460"/>
      <c r="G42" s="405">
        <f>ROUND(G41*1.06,0)</f>
        <v>8480000</v>
      </c>
      <c r="H42" s="444"/>
      <c r="I42" s="390"/>
      <c r="J42" s="401" t="s">
        <v>283</v>
      </c>
      <c r="K42" s="481">
        <v>0.2</v>
      </c>
      <c r="L42" s="391">
        <f>ROUND(M15*K42,0)</f>
        <v>253333</v>
      </c>
    </row>
    <row r="43" spans="2:13" s="377" customFormat="1" ht="17.25" customHeight="1" x14ac:dyDescent="0.25">
      <c r="B43" s="418" t="s">
        <v>71</v>
      </c>
      <c r="C43" s="369"/>
      <c r="D43" s="449" t="s">
        <v>541</v>
      </c>
      <c r="E43" s="369"/>
      <c r="F43" s="459"/>
      <c r="G43" s="405">
        <f>ROUND(G41*0.01,0)</f>
        <v>80000</v>
      </c>
      <c r="H43" s="444"/>
      <c r="I43" s="390"/>
      <c r="J43" s="401"/>
      <c r="K43" s="480"/>
      <c r="L43" s="377">
        <f>SUM(L41:L42)</f>
        <v>1205458</v>
      </c>
    </row>
    <row r="44" spans="2:13" s="377" customFormat="1" ht="20.100000000000001" customHeight="1" x14ac:dyDescent="0.2">
      <c r="B44" s="418" t="s">
        <v>450</v>
      </c>
      <c r="C44" s="369"/>
      <c r="D44" s="450" t="s">
        <v>531</v>
      </c>
      <c r="F44" s="459"/>
      <c r="G44" s="405">
        <f>ROUND(G41/10,0)</f>
        <v>800000</v>
      </c>
      <c r="H44" s="444"/>
      <c r="I44" s="390"/>
      <c r="J44" s="401" t="s">
        <v>486</v>
      </c>
      <c r="K44" s="481">
        <v>0.04</v>
      </c>
      <c r="L44" s="391">
        <f>ROUND(K44*L43,0)</f>
        <v>48218</v>
      </c>
    </row>
    <row r="45" spans="2:13" s="377" customFormat="1" ht="20.100000000000001" customHeight="1" x14ac:dyDescent="0.25">
      <c r="B45" s="427" t="s">
        <v>522</v>
      </c>
      <c r="C45" s="391"/>
      <c r="D45" s="391"/>
      <c r="E45" s="391"/>
      <c r="F45" s="461">
        <f>F41+90</f>
        <v>43617</v>
      </c>
      <c r="G45" s="406">
        <f>ROUND(G41*0.65,0)</f>
        <v>5200000</v>
      </c>
      <c r="H45" s="444"/>
      <c r="I45" s="390"/>
      <c r="J45" s="377" t="s">
        <v>286</v>
      </c>
      <c r="K45" s="481"/>
      <c r="M45" s="402">
        <f>L43+L44</f>
        <v>1253676</v>
      </c>
    </row>
    <row r="46" spans="2:13" s="377" customFormat="1" ht="20.100000000000001" customHeight="1" x14ac:dyDescent="0.25">
      <c r="B46" s="441" t="s">
        <v>79</v>
      </c>
      <c r="C46" s="411"/>
      <c r="D46" s="411"/>
      <c r="E46" s="369"/>
      <c r="F46" s="369"/>
      <c r="G46" s="404"/>
      <c r="H46" s="444"/>
      <c r="J46" s="377" t="s">
        <v>287</v>
      </c>
      <c r="L46" s="377">
        <f>ROUND(L4*0.1,0)</f>
        <v>60000</v>
      </c>
    </row>
    <row r="47" spans="2:13" s="377" customFormat="1" ht="15.75" customHeight="1" x14ac:dyDescent="0.2">
      <c r="B47" s="581" t="s">
        <v>439</v>
      </c>
      <c r="C47" s="582"/>
      <c r="D47" s="582"/>
      <c r="E47" s="582"/>
      <c r="F47" s="582"/>
      <c r="G47" s="405">
        <v>150000</v>
      </c>
      <c r="H47" s="444"/>
      <c r="I47" s="390"/>
      <c r="J47" s="377" t="s">
        <v>288</v>
      </c>
      <c r="L47" s="391">
        <f>G51+G52</f>
        <v>1200000</v>
      </c>
      <c r="M47" s="391">
        <f>L46+L47</f>
        <v>1260000</v>
      </c>
    </row>
    <row r="48" spans="2:13" s="377" customFormat="1" ht="20.100000000000001" customHeight="1" x14ac:dyDescent="0.25">
      <c r="B48" s="427" t="s">
        <v>189</v>
      </c>
      <c r="C48" s="429"/>
      <c r="D48" s="429"/>
      <c r="E48" s="429"/>
      <c r="F48" s="429"/>
      <c r="G48" s="406">
        <f>ROUND(G47/5,0)</f>
        <v>30000</v>
      </c>
      <c r="H48" s="444"/>
      <c r="I48" s="390"/>
      <c r="J48" s="511" t="s">
        <v>575</v>
      </c>
      <c r="M48" s="376">
        <f>M45-M47</f>
        <v>-6324</v>
      </c>
    </row>
    <row r="49" spans="2:13" s="377" customFormat="1" ht="20.100000000000001" customHeight="1" x14ac:dyDescent="0.2">
      <c r="B49" s="377" t="s">
        <v>193</v>
      </c>
      <c r="F49" s="390"/>
      <c r="G49" s="392">
        <v>100000</v>
      </c>
      <c r="H49" s="392"/>
      <c r="I49" s="390"/>
      <c r="J49" s="389" t="s">
        <v>438</v>
      </c>
    </row>
    <row r="50" spans="2:13" s="377" customFormat="1" ht="17.25" customHeight="1" thickBot="1" x14ac:dyDescent="0.3">
      <c r="B50" s="377" t="s">
        <v>532</v>
      </c>
      <c r="G50" s="392"/>
      <c r="H50" s="392"/>
      <c r="J50" s="511" t="s">
        <v>575</v>
      </c>
      <c r="L50" s="377" t="s">
        <v>451</v>
      </c>
      <c r="M50" s="403">
        <f>M48+M49+4</f>
        <v>-6320</v>
      </c>
    </row>
    <row r="51" spans="2:13" s="377" customFormat="1" ht="18" customHeight="1" thickTop="1" x14ac:dyDescent="0.2">
      <c r="B51" s="377" t="s">
        <v>534</v>
      </c>
      <c r="F51" s="390"/>
      <c r="G51" s="392">
        <f>ROUND(G56/30,0)</f>
        <v>750000</v>
      </c>
      <c r="H51" s="392"/>
      <c r="I51" s="390"/>
    </row>
    <row r="52" spans="2:13" s="377" customFormat="1" ht="20.100000000000001" customHeight="1" x14ac:dyDescent="0.25">
      <c r="B52" s="377" t="s">
        <v>533</v>
      </c>
      <c r="F52" s="390"/>
      <c r="G52" s="392">
        <f>ROUND(G51*0.6,0)</f>
        <v>450000</v>
      </c>
      <c r="H52" s="392"/>
      <c r="I52" s="390"/>
      <c r="K52" s="479">
        <v>0.15</v>
      </c>
      <c r="L52" s="479">
        <v>0.4</v>
      </c>
    </row>
    <row r="53" spans="2:13" s="377" customFormat="1" ht="20.100000000000001" customHeight="1" x14ac:dyDescent="0.25">
      <c r="B53" s="572" t="s">
        <v>577</v>
      </c>
      <c r="C53" s="573"/>
      <c r="D53" s="573"/>
      <c r="E53" s="573"/>
      <c r="F53" s="573"/>
      <c r="G53" s="574"/>
      <c r="H53" s="392"/>
      <c r="I53" s="390"/>
      <c r="K53" s="390" t="s">
        <v>262</v>
      </c>
      <c r="L53" s="390" t="s">
        <v>263</v>
      </c>
    </row>
    <row r="54" spans="2:13" s="377" customFormat="1" ht="17.25" customHeight="1" x14ac:dyDescent="0.2">
      <c r="B54" s="563" t="s">
        <v>528</v>
      </c>
      <c r="C54" s="564"/>
      <c r="D54" s="564"/>
      <c r="E54" s="564"/>
      <c r="F54" s="564"/>
      <c r="G54" s="565"/>
      <c r="H54" s="451"/>
      <c r="J54" s="377" t="s">
        <v>264</v>
      </c>
      <c r="K54" s="377">
        <f>(F91+F92-F94)*K52</f>
        <v>171000</v>
      </c>
      <c r="L54" s="377">
        <f>(G91+G92-G94)*L52</f>
        <v>68400</v>
      </c>
    </row>
    <row r="55" spans="2:13" s="377" customFormat="1" ht="16.5" customHeight="1" x14ac:dyDescent="0.25">
      <c r="B55" s="544" t="s">
        <v>481</v>
      </c>
      <c r="C55" s="544"/>
      <c r="D55" s="544"/>
      <c r="E55" s="544"/>
      <c r="F55" s="544"/>
      <c r="G55" s="544"/>
      <c r="H55" s="452"/>
      <c r="I55" s="376"/>
      <c r="J55" s="377" t="s">
        <v>265</v>
      </c>
      <c r="K55" s="377">
        <f>F93*K52/2</f>
        <v>9000</v>
      </c>
      <c r="L55" s="377">
        <f>G93*L52/2</f>
        <v>3600</v>
      </c>
    </row>
    <row r="56" spans="2:13" s="377" customFormat="1" ht="18.95" customHeight="1" x14ac:dyDescent="0.2">
      <c r="B56" s="359" t="s">
        <v>202</v>
      </c>
      <c r="C56" s="360"/>
      <c r="D56" s="361">
        <f>ROUND(G59*0.5,0)</f>
        <v>1152000</v>
      </c>
      <c r="E56" s="362" t="s">
        <v>199</v>
      </c>
      <c r="F56" s="363"/>
      <c r="G56" s="361">
        <v>22500000</v>
      </c>
      <c r="H56" s="444"/>
      <c r="I56" s="390"/>
      <c r="J56" s="377" t="s">
        <v>449</v>
      </c>
      <c r="K56" s="377">
        <f>F92*0.2+F93*0.1</f>
        <v>52000</v>
      </c>
    </row>
    <row r="57" spans="2:13" s="377" customFormat="1" ht="18.95" customHeight="1" thickBot="1" x14ac:dyDescent="0.3">
      <c r="B57" s="359" t="s">
        <v>203</v>
      </c>
      <c r="C57" s="360"/>
      <c r="D57" s="361">
        <f>ROUND(G56*0.51,0)</f>
        <v>11475000</v>
      </c>
      <c r="E57" s="362" t="s">
        <v>233</v>
      </c>
      <c r="F57" s="363"/>
      <c r="G57" s="361">
        <f>ROUND(G56*0.012,0)</f>
        <v>270000</v>
      </c>
      <c r="H57" s="444"/>
      <c r="I57" s="390"/>
      <c r="K57" s="399">
        <f>SUM(K54:K56)</f>
        <v>232000</v>
      </c>
      <c r="L57" s="399">
        <f>SUM(L54:L56)</f>
        <v>72000</v>
      </c>
      <c r="M57" s="377">
        <f>K57+L57</f>
        <v>304000</v>
      </c>
    </row>
    <row r="58" spans="2:13" s="377" customFormat="1" ht="18.95" customHeight="1" thickTop="1" x14ac:dyDescent="0.2">
      <c r="B58" s="359" t="s">
        <v>98</v>
      </c>
      <c r="C58" s="360"/>
      <c r="D58" s="361">
        <f>ROUND(D57*0.05,0)</f>
        <v>573750</v>
      </c>
      <c r="E58" s="362" t="s">
        <v>539</v>
      </c>
      <c r="F58" s="364"/>
      <c r="G58" s="361">
        <f>ROUND(G56*0.18,0)</f>
        <v>4050000</v>
      </c>
      <c r="H58" s="444"/>
      <c r="I58" s="390"/>
    </row>
    <row r="59" spans="2:13" s="377" customFormat="1" ht="18.95" customHeight="1" x14ac:dyDescent="0.2">
      <c r="B59" s="359" t="s">
        <v>538</v>
      </c>
      <c r="C59" s="360"/>
      <c r="D59" s="361">
        <f>ROUND(D57*0.12,0)</f>
        <v>1377000</v>
      </c>
      <c r="E59" s="362" t="s">
        <v>164</v>
      </c>
      <c r="F59" s="364"/>
      <c r="G59" s="361">
        <f>ROUND(G56/10+G57/5,0)</f>
        <v>2304000</v>
      </c>
      <c r="H59" s="444"/>
      <c r="I59" s="390"/>
    </row>
    <row r="60" spans="2:13" s="377" customFormat="1" ht="18.95" customHeight="1" x14ac:dyDescent="0.2">
      <c r="B60" s="359" t="s">
        <v>540</v>
      </c>
      <c r="C60" s="360"/>
      <c r="D60" s="361">
        <f>ROUND(G58/4,0)</f>
        <v>1012500</v>
      </c>
      <c r="E60" s="365"/>
      <c r="F60" s="366"/>
      <c r="G60" s="367"/>
      <c r="H60" s="444"/>
      <c r="I60" s="504">
        <v>1</v>
      </c>
      <c r="J60" s="253" t="s">
        <v>420</v>
      </c>
      <c r="K60" s="31"/>
      <c r="L60" s="31"/>
    </row>
    <row r="61" spans="2:13" s="377" customFormat="1" ht="18.95" customHeight="1" x14ac:dyDescent="0.25">
      <c r="B61" s="468" t="s">
        <v>529</v>
      </c>
      <c r="C61" s="469"/>
      <c r="D61" s="470">
        <f>D62-SUM(D56:D60)</f>
        <v>13533750</v>
      </c>
      <c r="E61" s="365"/>
      <c r="F61" s="366"/>
      <c r="G61" s="367"/>
      <c r="H61" s="444"/>
      <c r="I61" s="5"/>
      <c r="J61" s="252" t="s">
        <v>504</v>
      </c>
      <c r="K61" s="31"/>
      <c r="L61" s="31"/>
    </row>
    <row r="62" spans="2:13" s="377" customFormat="1" ht="16.5" customHeight="1" thickBot="1" x14ac:dyDescent="0.3">
      <c r="B62" s="464"/>
      <c r="C62" s="465"/>
      <c r="D62" s="474">
        <f>+G62</f>
        <v>29124000</v>
      </c>
      <c r="E62" s="466"/>
      <c r="F62" s="467"/>
      <c r="G62" s="475">
        <f>SUM(G56:G61)</f>
        <v>29124000</v>
      </c>
      <c r="H62" s="444"/>
      <c r="I62" s="5">
        <v>2</v>
      </c>
      <c r="J62" s="253" t="s">
        <v>419</v>
      </c>
      <c r="K62" s="31"/>
      <c r="L62" s="31"/>
    </row>
    <row r="63" spans="2:13" s="377" customFormat="1" ht="18.95" customHeight="1" thickTop="1" x14ac:dyDescent="0.2">
      <c r="B63" s="462" t="s">
        <v>205</v>
      </c>
      <c r="C63" s="463"/>
      <c r="D63" s="371">
        <f>G56*0.02</f>
        <v>450000</v>
      </c>
      <c r="E63" s="471" t="str">
        <f>+B61</f>
        <v>Gross Profit</v>
      </c>
      <c r="F63" s="472"/>
      <c r="G63" s="473">
        <f>+D61</f>
        <v>13533750</v>
      </c>
      <c r="H63" s="444"/>
      <c r="I63" s="504"/>
      <c r="J63" s="242" t="s">
        <v>586</v>
      </c>
      <c r="K63" s="31"/>
      <c r="L63" s="31"/>
    </row>
    <row r="64" spans="2:13" s="377" customFormat="1" ht="18.95" customHeight="1" x14ac:dyDescent="0.2">
      <c r="B64" s="359" t="s">
        <v>206</v>
      </c>
      <c r="C64" s="360"/>
      <c r="D64" s="361">
        <f>ROUND(+D60*1.1,0)</f>
        <v>1113750</v>
      </c>
      <c r="E64" s="369"/>
      <c r="F64" s="366"/>
      <c r="G64" s="367"/>
      <c r="H64" s="444"/>
      <c r="I64" s="5">
        <v>3</v>
      </c>
      <c r="J64" s="253" t="s">
        <v>423</v>
      </c>
      <c r="K64" s="6"/>
      <c r="L64" s="251" t="s">
        <v>422</v>
      </c>
    </row>
    <row r="65" spans="2:12" s="377" customFormat="1" ht="18.95" customHeight="1" x14ac:dyDescent="0.2">
      <c r="B65" s="359" t="s">
        <v>207</v>
      </c>
      <c r="C65" s="360"/>
      <c r="D65" s="361">
        <f>ROUND(+G57/2,0)</f>
        <v>135000</v>
      </c>
      <c r="E65" s="369"/>
      <c r="F65" s="366"/>
      <c r="G65" s="367"/>
      <c r="H65" s="444"/>
      <c r="I65" s="504"/>
      <c r="J65" s="252" t="s">
        <v>587</v>
      </c>
      <c r="K65" s="31"/>
      <c r="L65" s="31"/>
    </row>
    <row r="66" spans="2:12" s="377" customFormat="1" ht="18.95" customHeight="1" x14ac:dyDescent="0.2">
      <c r="B66" s="359" t="s">
        <v>107</v>
      </c>
      <c r="C66" s="360"/>
      <c r="D66" s="361">
        <f>ROUND(G56*0.12,0)</f>
        <v>2700000</v>
      </c>
      <c r="E66" s="369"/>
      <c r="F66" s="366"/>
      <c r="G66" s="367"/>
      <c r="H66" s="444"/>
      <c r="I66" s="504">
        <v>4</v>
      </c>
      <c r="J66" s="253" t="s">
        <v>424</v>
      </c>
      <c r="K66" s="31"/>
      <c r="L66" s="251" t="s">
        <v>422</v>
      </c>
    </row>
    <row r="67" spans="2:12" s="377" customFormat="1" ht="18.95" customHeight="1" x14ac:dyDescent="0.2">
      <c r="B67" s="359" t="s">
        <v>109</v>
      </c>
      <c r="C67" s="360"/>
      <c r="D67" s="361">
        <f>D66*0.05</f>
        <v>135000</v>
      </c>
      <c r="E67" s="369"/>
      <c r="F67" s="366"/>
      <c r="G67" s="367"/>
      <c r="H67" s="444"/>
      <c r="I67" s="6"/>
      <c r="J67" s="252" t="s">
        <v>587</v>
      </c>
      <c r="K67" s="31"/>
      <c r="L67" s="31"/>
    </row>
    <row r="68" spans="2:12" s="377" customFormat="1" ht="18.95" customHeight="1" x14ac:dyDescent="0.2">
      <c r="B68" s="359" t="s">
        <v>110</v>
      </c>
      <c r="C68" s="360"/>
      <c r="D68" s="361">
        <f>+D65+D63</f>
        <v>585000</v>
      </c>
      <c r="E68" s="369"/>
      <c r="F68" s="366"/>
      <c r="G68" s="367"/>
      <c r="H68" s="444"/>
      <c r="I68" s="390"/>
    </row>
    <row r="69" spans="2:12" s="377" customFormat="1" ht="18.95" customHeight="1" x14ac:dyDescent="0.2">
      <c r="B69" s="359" t="s">
        <v>111</v>
      </c>
      <c r="C69" s="360"/>
      <c r="D69" s="361">
        <f>ROUND(G56/125,0)</f>
        <v>180000</v>
      </c>
      <c r="E69" s="369"/>
      <c r="F69" s="366"/>
      <c r="G69" s="367"/>
      <c r="H69" s="444"/>
      <c r="I69" s="390"/>
    </row>
    <row r="70" spans="2:12" s="377" customFormat="1" ht="18.95" customHeight="1" x14ac:dyDescent="0.2">
      <c r="B70" s="359" t="s">
        <v>445</v>
      </c>
      <c r="C70" s="360"/>
      <c r="D70" s="361">
        <f>ROUND(D69*2.25,0)</f>
        <v>405000</v>
      </c>
      <c r="E70" s="369"/>
      <c r="F70" s="366"/>
      <c r="G70" s="367"/>
      <c r="H70" s="444"/>
      <c r="I70" s="390"/>
    </row>
    <row r="71" spans="2:12" s="377" customFormat="1" ht="18.95" customHeight="1" x14ac:dyDescent="0.2">
      <c r="B71" s="359" t="s">
        <v>114</v>
      </c>
      <c r="C71" s="360"/>
      <c r="D71" s="361">
        <f>ROUND(+D65/2,0)</f>
        <v>67500</v>
      </c>
      <c r="E71" s="369"/>
      <c r="F71" s="366"/>
      <c r="G71" s="367"/>
      <c r="H71" s="444"/>
      <c r="I71" s="390"/>
    </row>
    <row r="72" spans="2:12" s="377" customFormat="1" ht="18.95" customHeight="1" x14ac:dyDescent="0.2">
      <c r="B72" s="359" t="s">
        <v>209</v>
      </c>
      <c r="C72" s="360"/>
      <c r="D72" s="361">
        <f>D71+D69</f>
        <v>247500</v>
      </c>
      <c r="E72" s="369"/>
      <c r="F72" s="366"/>
      <c r="G72" s="367"/>
      <c r="H72" s="444"/>
      <c r="I72" s="390"/>
    </row>
    <row r="73" spans="2:12" s="377" customFormat="1" ht="18.95" customHeight="1" x14ac:dyDescent="0.2">
      <c r="B73" s="359" t="s">
        <v>441</v>
      </c>
      <c r="C73" s="360"/>
      <c r="D73" s="361">
        <f>ROUND(G57*0.4,0)</f>
        <v>108000</v>
      </c>
      <c r="E73" s="369"/>
      <c r="F73" s="366"/>
      <c r="G73" s="367"/>
      <c r="H73" s="444"/>
      <c r="I73" s="390"/>
    </row>
    <row r="74" spans="2:12" s="377" customFormat="1" ht="18.95" customHeight="1" x14ac:dyDescent="0.2">
      <c r="B74" s="359" t="s">
        <v>118</v>
      </c>
      <c r="C74" s="360"/>
      <c r="D74" s="361">
        <f>ROUND(D66*0.015,0)</f>
        <v>40500</v>
      </c>
      <c r="E74" s="369"/>
      <c r="F74" s="366"/>
      <c r="G74" s="367"/>
      <c r="H74" s="444"/>
      <c r="I74" s="390"/>
    </row>
    <row r="75" spans="2:12" s="377" customFormat="1" ht="18.95" customHeight="1" x14ac:dyDescent="0.2">
      <c r="B75" s="359" t="s">
        <v>535</v>
      </c>
      <c r="C75" s="360"/>
      <c r="D75" s="361">
        <f>ROUND(G56*0.016,0)</f>
        <v>360000</v>
      </c>
      <c r="E75" s="369"/>
      <c r="F75" s="366"/>
      <c r="G75" s="367"/>
      <c r="H75" s="444"/>
      <c r="I75" s="390"/>
    </row>
    <row r="76" spans="2:12" s="377" customFormat="1" ht="18.95" customHeight="1" x14ac:dyDescent="0.2">
      <c r="B76" s="359" t="s">
        <v>122</v>
      </c>
      <c r="C76" s="360"/>
      <c r="D76" s="361">
        <f>ROUND(G56*0.0015,0)</f>
        <v>33750</v>
      </c>
      <c r="E76" s="369"/>
      <c r="F76" s="366"/>
      <c r="G76" s="367"/>
      <c r="H76" s="444"/>
      <c r="I76" s="390"/>
    </row>
    <row r="77" spans="2:12" s="377" customFormat="1" ht="18.95" customHeight="1" x14ac:dyDescent="0.2">
      <c r="B77" s="359" t="s">
        <v>123</v>
      </c>
      <c r="C77" s="360"/>
      <c r="D77" s="361">
        <f>ROUND(F95*0.18+G95*0.25,0)</f>
        <v>274050</v>
      </c>
      <c r="E77" s="369"/>
      <c r="F77" s="366"/>
      <c r="G77" s="367"/>
      <c r="H77" s="444"/>
      <c r="I77" s="390"/>
    </row>
    <row r="78" spans="2:12" s="377" customFormat="1" ht="18.95" customHeight="1" x14ac:dyDescent="0.2">
      <c r="B78" s="359" t="s">
        <v>215</v>
      </c>
      <c r="C78" s="360"/>
      <c r="D78" s="361">
        <f>(D99+D100+D101)*0.14</f>
        <v>1750000.0000000002</v>
      </c>
      <c r="E78" s="369"/>
      <c r="F78" s="366"/>
      <c r="G78" s="367"/>
      <c r="H78" s="444"/>
      <c r="I78" s="390"/>
    </row>
    <row r="79" spans="2:12" s="377" customFormat="1" ht="24" customHeight="1" x14ac:dyDescent="0.2">
      <c r="B79" s="595" t="s">
        <v>536</v>
      </c>
      <c r="C79" s="596"/>
      <c r="D79" s="361">
        <f>50000*12*3</f>
        <v>1800000</v>
      </c>
      <c r="E79" s="369"/>
      <c r="F79" s="366"/>
      <c r="G79" s="367"/>
      <c r="H79" s="444"/>
      <c r="I79" s="390"/>
    </row>
    <row r="80" spans="2:12" s="377" customFormat="1" ht="18.95" customHeight="1" x14ac:dyDescent="0.2">
      <c r="B80" s="359" t="s">
        <v>125</v>
      </c>
      <c r="C80" s="360"/>
      <c r="D80" s="361">
        <f>G85+G87+25000</f>
        <v>1292500</v>
      </c>
      <c r="E80" s="369"/>
      <c r="F80" s="366"/>
      <c r="G80" s="367"/>
      <c r="H80" s="444"/>
      <c r="I80" s="390"/>
    </row>
    <row r="81" spans="2:12" s="377" customFormat="1" ht="18.95" customHeight="1" x14ac:dyDescent="0.25">
      <c r="B81" s="468" t="s">
        <v>126</v>
      </c>
      <c r="C81" s="476"/>
      <c r="D81" s="477">
        <f>G82-SUM(D63:D80)</f>
        <v>1856200</v>
      </c>
      <c r="E81" s="369"/>
      <c r="F81" s="370"/>
      <c r="G81" s="371"/>
      <c r="H81" s="444"/>
      <c r="I81" s="366"/>
    </row>
    <row r="82" spans="2:12" s="377" customFormat="1" ht="18.95" customHeight="1" thickBot="1" x14ac:dyDescent="0.3">
      <c r="B82" s="372"/>
      <c r="C82" s="373"/>
      <c r="D82" s="475">
        <f>+G82</f>
        <v>13533750</v>
      </c>
      <c r="E82" s="373"/>
      <c r="F82" s="375"/>
      <c r="G82" s="475">
        <f>SUM(G63:G81)</f>
        <v>13533750</v>
      </c>
      <c r="H82" s="453"/>
      <c r="I82" s="366"/>
    </row>
    <row r="83" spans="2:12" s="377" customFormat="1" ht="18.95" customHeight="1" thickTop="1" x14ac:dyDescent="0.25">
      <c r="B83" s="60" t="s">
        <v>576</v>
      </c>
      <c r="C83" s="60"/>
      <c r="D83" s="351"/>
      <c r="E83" s="309"/>
      <c r="F83" s="352" t="s">
        <v>512</v>
      </c>
      <c r="G83" s="351">
        <f>G56+G58</f>
        <v>26550000</v>
      </c>
      <c r="H83" s="453"/>
      <c r="I83" s="366"/>
    </row>
    <row r="84" spans="2:12" s="377" customFormat="1" ht="19.5" customHeight="1" x14ac:dyDescent="0.25">
      <c r="B84" s="376" t="s">
        <v>134</v>
      </c>
    </row>
    <row r="85" spans="2:12" s="377" customFormat="1" ht="15" customHeight="1" x14ac:dyDescent="0.2">
      <c r="B85" s="378" t="s">
        <v>333</v>
      </c>
      <c r="C85" s="378"/>
      <c r="D85" s="378"/>
      <c r="E85" s="378"/>
      <c r="F85" s="378"/>
      <c r="G85" s="377">
        <f>ROUND(+D76*2,0)</f>
        <v>67500</v>
      </c>
    </row>
    <row r="86" spans="2:12" s="377" customFormat="1" ht="19.5" customHeight="1" x14ac:dyDescent="0.2">
      <c r="B86" s="576" t="s">
        <v>385</v>
      </c>
      <c r="C86" s="576"/>
      <c r="D86" s="576"/>
      <c r="E86" s="576"/>
      <c r="F86" s="576"/>
      <c r="G86" s="377">
        <v>10000</v>
      </c>
    </row>
    <row r="87" spans="2:12" s="377" customFormat="1" ht="20.100000000000001" customHeight="1" x14ac:dyDescent="0.2">
      <c r="B87" s="378" t="s">
        <v>377</v>
      </c>
      <c r="C87" s="378"/>
      <c r="D87" s="378"/>
      <c r="E87" s="378"/>
      <c r="F87" s="378"/>
      <c r="G87" s="377">
        <f>+G51+G52</f>
        <v>1200000</v>
      </c>
    </row>
    <row r="88" spans="2:12" s="377" customFormat="1" ht="30.75" customHeight="1" x14ac:dyDescent="0.2">
      <c r="B88" s="576" t="s">
        <v>436</v>
      </c>
      <c r="C88" s="576"/>
      <c r="D88" s="576"/>
      <c r="E88" s="576"/>
      <c r="F88" s="576"/>
      <c r="G88" s="379">
        <v>10000</v>
      </c>
      <c r="H88" s="379"/>
      <c r="K88" s="390"/>
      <c r="L88" s="390"/>
    </row>
    <row r="89" spans="2:12" s="377" customFormat="1" ht="20.100000000000001" customHeight="1" x14ac:dyDescent="0.2">
      <c r="B89" s="378" t="s">
        <v>379</v>
      </c>
      <c r="C89" s="378"/>
      <c r="D89" s="378"/>
      <c r="E89" s="378"/>
      <c r="F89" s="378"/>
    </row>
    <row r="90" spans="2:12" s="377" customFormat="1" ht="22.5" customHeight="1" x14ac:dyDescent="0.2">
      <c r="B90" s="380"/>
      <c r="C90" s="381"/>
      <c r="D90" s="381"/>
      <c r="E90" s="382"/>
      <c r="F90" s="383" t="s">
        <v>229</v>
      </c>
      <c r="G90" s="384" t="s">
        <v>218</v>
      </c>
      <c r="H90" s="454"/>
      <c r="I90" s="390"/>
    </row>
    <row r="91" spans="2:12" s="377" customFormat="1" ht="20.100000000000001" customHeight="1" x14ac:dyDescent="0.2">
      <c r="B91" s="385" t="s">
        <v>219</v>
      </c>
      <c r="C91" s="381"/>
      <c r="D91" s="382"/>
      <c r="E91" s="478">
        <v>43191</v>
      </c>
      <c r="F91" s="368">
        <v>1000000</v>
      </c>
      <c r="G91" s="368">
        <f>ROUND(F91*0.15,0)</f>
        <v>150000</v>
      </c>
      <c r="H91" s="369"/>
      <c r="I91" s="390"/>
    </row>
    <row r="92" spans="2:12" s="377" customFormat="1" ht="20.100000000000001" customHeight="1" x14ac:dyDescent="0.2">
      <c r="B92" s="385" t="s">
        <v>383</v>
      </c>
      <c r="C92" s="381"/>
      <c r="D92" s="382"/>
      <c r="E92" s="478">
        <v>43261</v>
      </c>
      <c r="F92" s="368">
        <f>ROUND(F91*0.2,0)</f>
        <v>200000</v>
      </c>
      <c r="G92" s="368">
        <f>ROUND(G91*0.2,0)</f>
        <v>30000</v>
      </c>
      <c r="H92" s="369"/>
      <c r="I92" s="390"/>
    </row>
    <row r="93" spans="2:12" s="377" customFormat="1" ht="20.100000000000001" customHeight="1" x14ac:dyDescent="0.2">
      <c r="B93" s="385" t="s">
        <v>384</v>
      </c>
      <c r="C93" s="381"/>
      <c r="D93" s="382"/>
      <c r="E93" s="478">
        <f>E92+183</f>
        <v>43444</v>
      </c>
      <c r="F93" s="368">
        <f>ROUND(F92*0.6,0)</f>
        <v>120000</v>
      </c>
      <c r="G93" s="368">
        <f>ROUND(G92*0.6,0)</f>
        <v>18000</v>
      </c>
      <c r="H93" s="369"/>
      <c r="I93" s="390"/>
    </row>
    <row r="94" spans="2:12" s="377" customFormat="1" ht="20.100000000000001" customHeight="1" x14ac:dyDescent="0.2">
      <c r="B94" s="385" t="s">
        <v>221</v>
      </c>
      <c r="C94" s="381"/>
      <c r="D94" s="382"/>
      <c r="E94" s="478">
        <f>E92+40</f>
        <v>43301</v>
      </c>
      <c r="F94" s="368">
        <f>ROUND(F92*0.3,0)</f>
        <v>60000</v>
      </c>
      <c r="G94" s="368">
        <f>ROUND(G92*0.3,0)</f>
        <v>9000</v>
      </c>
      <c r="H94" s="369"/>
      <c r="I94" s="390"/>
    </row>
    <row r="95" spans="2:12" s="377" customFormat="1" ht="20.100000000000001" customHeight="1" x14ac:dyDescent="0.2">
      <c r="B95" s="385" t="s">
        <v>222</v>
      </c>
      <c r="C95" s="381"/>
      <c r="D95" s="382"/>
      <c r="E95" s="478">
        <v>43555</v>
      </c>
      <c r="F95" s="361">
        <f>F91+F92+F93-F94</f>
        <v>1260000</v>
      </c>
      <c r="G95" s="361">
        <f>G91+G92+G93-G94</f>
        <v>189000</v>
      </c>
      <c r="H95" s="444"/>
      <c r="I95" s="390"/>
    </row>
    <row r="96" spans="2:12" s="377" customFormat="1" ht="33" customHeight="1" x14ac:dyDescent="0.2">
      <c r="B96" s="576" t="s">
        <v>402</v>
      </c>
      <c r="C96" s="576"/>
      <c r="D96" s="576"/>
      <c r="E96" s="576"/>
      <c r="F96" s="576"/>
      <c r="G96" s="576"/>
      <c r="H96" s="455"/>
    </row>
    <row r="97" spans="2:9" s="377" customFormat="1" ht="18" customHeight="1" x14ac:dyDescent="0.2">
      <c r="B97" s="594" t="s">
        <v>483</v>
      </c>
      <c r="C97" s="594"/>
      <c r="D97" s="594"/>
      <c r="E97" s="594"/>
      <c r="F97" s="594"/>
      <c r="G97" s="594"/>
      <c r="H97" s="456"/>
    </row>
    <row r="98" spans="2:9" s="377" customFormat="1" ht="20.100000000000001" customHeight="1" x14ac:dyDescent="0.2">
      <c r="B98" s="385" t="s">
        <v>160</v>
      </c>
      <c r="C98" s="382"/>
      <c r="D98" s="361"/>
      <c r="E98" s="385" t="s">
        <v>164</v>
      </c>
      <c r="F98" s="382"/>
      <c r="G98" s="361">
        <f>+G59</f>
        <v>2304000</v>
      </c>
      <c r="H98" s="444"/>
    </row>
    <row r="99" spans="2:9" s="377" customFormat="1" ht="20.100000000000001" customHeight="1" x14ac:dyDescent="0.2">
      <c r="B99" s="506" t="str">
        <f>+E18</f>
        <v xml:space="preserve">Siddharth </v>
      </c>
      <c r="C99" s="382"/>
      <c r="D99" s="361">
        <v>5000000</v>
      </c>
      <c r="E99" s="385" t="s">
        <v>579</v>
      </c>
      <c r="F99" s="382"/>
      <c r="G99" s="361">
        <f>ROUND((D99+D100+D101)*0.25,0)</f>
        <v>3125000</v>
      </c>
      <c r="H99" s="444"/>
      <c r="I99" s="390"/>
    </row>
    <row r="100" spans="2:9" s="377" customFormat="1" ht="20.100000000000001" customHeight="1" x14ac:dyDescent="0.2">
      <c r="B100" s="506" t="str">
        <f>+F18</f>
        <v xml:space="preserve">Amreeta </v>
      </c>
      <c r="C100" s="382"/>
      <c r="D100" s="361">
        <f>D99/E20*F20</f>
        <v>5000000</v>
      </c>
      <c r="E100" s="385" t="s">
        <v>578</v>
      </c>
      <c r="F100" s="382"/>
      <c r="G100" s="361">
        <f>G99*2</f>
        <v>6250000</v>
      </c>
      <c r="H100" s="444"/>
      <c r="I100" s="390"/>
    </row>
    <row r="101" spans="2:9" s="377" customFormat="1" ht="20.100000000000001" customHeight="1" x14ac:dyDescent="0.2">
      <c r="B101" s="506" t="str">
        <f>+G18</f>
        <v xml:space="preserve">Iddham </v>
      </c>
      <c r="C101" s="382"/>
      <c r="D101" s="509">
        <f>D99/E20*G20</f>
        <v>2500000</v>
      </c>
      <c r="E101" s="385" t="s">
        <v>168</v>
      </c>
      <c r="F101" s="382"/>
      <c r="G101" s="361">
        <f>F95+G95</f>
        <v>1449000</v>
      </c>
      <c r="H101" s="444"/>
      <c r="I101" s="390"/>
    </row>
    <row r="102" spans="2:9" s="377" customFormat="1" ht="20.100000000000001" customHeight="1" x14ac:dyDescent="0.2">
      <c r="B102" s="410" t="s">
        <v>176</v>
      </c>
      <c r="C102" s="411"/>
      <c r="D102" s="585">
        <f>D105-D99-D100-D101</f>
        <v>4294875</v>
      </c>
      <c r="E102" s="362" t="s">
        <v>544</v>
      </c>
      <c r="F102" s="382"/>
      <c r="G102" s="361">
        <f>(D99+D100)/5</f>
        <v>2000000</v>
      </c>
      <c r="H102" s="444"/>
      <c r="I102" s="390"/>
    </row>
    <row r="103" spans="2:9" s="377" customFormat="1" ht="20.100000000000001" customHeight="1" x14ac:dyDescent="0.2">
      <c r="B103" s="510" t="s">
        <v>580</v>
      </c>
      <c r="C103" s="391"/>
      <c r="D103" s="586"/>
      <c r="E103" s="508" t="s">
        <v>172</v>
      </c>
      <c r="F103" s="382"/>
      <c r="G103" s="361">
        <f>G99/2+25000</f>
        <v>1587500</v>
      </c>
      <c r="H103" s="444"/>
      <c r="I103" s="390"/>
    </row>
    <row r="104" spans="2:9" s="377" customFormat="1" ht="20.100000000000001" customHeight="1" x14ac:dyDescent="0.2">
      <c r="B104" s="457"/>
      <c r="C104" s="391"/>
      <c r="D104" s="371"/>
      <c r="E104" s="385" t="s">
        <v>174</v>
      </c>
      <c r="F104" s="382"/>
      <c r="G104" s="361">
        <f>ROUND(G103*0.05,0)</f>
        <v>79375</v>
      </c>
      <c r="H104" s="444"/>
    </row>
    <row r="105" spans="2:9" s="377" customFormat="1" ht="20.100000000000001" customHeight="1" thickBot="1" x14ac:dyDescent="0.3">
      <c r="B105" s="372"/>
      <c r="C105" s="373"/>
      <c r="D105" s="374">
        <f>+G105</f>
        <v>16794875</v>
      </c>
      <c r="E105" s="399"/>
      <c r="F105" s="458"/>
      <c r="G105" s="374">
        <f>SUM(G98:G104)</f>
        <v>16794875</v>
      </c>
      <c r="H105" s="453"/>
      <c r="I105" s="390"/>
    </row>
    <row r="106" spans="2:9" s="377" customFormat="1" ht="20.100000000000001" customHeight="1" thickTop="1" x14ac:dyDescent="0.2">
      <c r="B106" s="575" t="s">
        <v>407</v>
      </c>
      <c r="C106" s="575"/>
      <c r="D106" s="575"/>
      <c r="E106" s="575"/>
      <c r="F106" s="575"/>
      <c r="G106" s="575"/>
    </row>
    <row r="107" spans="2:9" s="377" customFormat="1" ht="20.100000000000001" customHeight="1" x14ac:dyDescent="0.2">
      <c r="B107" s="378"/>
    </row>
    <row r="108" spans="2:9" s="377" customFormat="1" ht="20.100000000000001" customHeight="1" x14ac:dyDescent="0.2">
      <c r="B108" s="378"/>
    </row>
    <row r="109" spans="2:9" s="377" customFormat="1" ht="20.100000000000001" customHeight="1" x14ac:dyDescent="0.2"/>
    <row r="110" spans="2:9" s="377" customFormat="1" ht="20.100000000000001" customHeight="1" x14ac:dyDescent="0.2"/>
    <row r="111" spans="2:9" s="377" customFormat="1" ht="20.100000000000001" customHeight="1" x14ac:dyDescent="0.2"/>
    <row r="112" spans="2:9" s="377" customFormat="1" ht="20.100000000000001" customHeight="1" x14ac:dyDescent="0.2">
      <c r="B112" s="377" t="s">
        <v>389</v>
      </c>
    </row>
    <row r="113" spans="2:2" s="377" customFormat="1" ht="20.100000000000001" customHeight="1" x14ac:dyDescent="0.2"/>
    <row r="114" spans="2:2" s="377" customFormat="1" ht="20.100000000000001" customHeight="1" x14ac:dyDescent="0.2"/>
    <row r="115" spans="2:2" s="377" customFormat="1" ht="20.100000000000001" customHeight="1" x14ac:dyDescent="0.2"/>
    <row r="116" spans="2:2" s="377" customFormat="1" ht="20.100000000000001" customHeight="1" x14ac:dyDescent="0.2"/>
    <row r="117" spans="2:2" s="377" customFormat="1" ht="20.100000000000001" customHeight="1" x14ac:dyDescent="0.2"/>
    <row r="118" spans="2:2" s="377" customFormat="1" ht="20.100000000000001" customHeight="1" x14ac:dyDescent="0.2"/>
    <row r="119" spans="2:2" s="377" customFormat="1" ht="20.100000000000001" customHeight="1" x14ac:dyDescent="0.2">
      <c r="B119" s="378"/>
    </row>
    <row r="120" spans="2:2" s="377" customFormat="1" ht="20.100000000000001" customHeight="1" x14ac:dyDescent="0.2"/>
    <row r="121" spans="2:2" s="377" customFormat="1" ht="20.100000000000001" customHeight="1" x14ac:dyDescent="0.2"/>
    <row r="122" spans="2:2" s="377" customFormat="1" ht="20.100000000000001" customHeight="1" x14ac:dyDescent="0.2"/>
    <row r="123" spans="2:2" s="377" customFormat="1" ht="20.100000000000001" customHeight="1" x14ac:dyDescent="0.2"/>
    <row r="124" spans="2:2" s="377" customFormat="1" ht="20.100000000000001" customHeight="1" x14ac:dyDescent="0.2"/>
    <row r="125" spans="2:2" s="377" customFormat="1" ht="20.100000000000001" customHeight="1" x14ac:dyDescent="0.2"/>
    <row r="126" spans="2:2" s="377" customFormat="1" ht="20.100000000000001" customHeight="1" x14ac:dyDescent="0.2"/>
    <row r="127" spans="2:2" s="377" customFormat="1" ht="20.100000000000001" customHeight="1" x14ac:dyDescent="0.2"/>
    <row r="128" spans="2:2" s="377" customFormat="1" ht="20.100000000000001" customHeight="1" x14ac:dyDescent="0.2"/>
    <row r="129" s="377" customFormat="1" ht="20.100000000000001" customHeight="1" x14ac:dyDescent="0.2"/>
    <row r="130" s="377" customFormat="1" ht="20.100000000000001" customHeight="1" x14ac:dyDescent="0.2"/>
    <row r="131" s="377" customFormat="1" ht="20.100000000000001" customHeight="1" x14ac:dyDescent="0.2"/>
    <row r="132" s="377" customFormat="1" ht="20.100000000000001" customHeight="1" x14ac:dyDescent="0.2"/>
    <row r="133" s="377" customFormat="1" ht="20.100000000000001" customHeight="1" x14ac:dyDescent="0.2"/>
    <row r="134" s="377" customFormat="1" ht="20.100000000000001" customHeight="1" x14ac:dyDescent="0.2"/>
    <row r="135" s="377" customFormat="1" ht="20.100000000000001" customHeight="1" x14ac:dyDescent="0.2"/>
    <row r="136" s="377" customFormat="1" ht="20.100000000000001" customHeight="1" x14ac:dyDescent="0.2"/>
    <row r="137" s="377" customFormat="1" ht="20.100000000000001" customHeight="1" x14ac:dyDescent="0.2"/>
    <row r="138" s="377" customFormat="1" ht="20.100000000000001" customHeight="1" x14ac:dyDescent="0.2"/>
    <row r="139" s="377" customFormat="1" ht="20.100000000000001" customHeight="1" x14ac:dyDescent="0.2"/>
    <row r="140" s="377" customFormat="1" ht="20.100000000000001" customHeight="1" x14ac:dyDescent="0.2"/>
    <row r="141" s="377" customFormat="1" ht="20.100000000000001" customHeight="1" x14ac:dyDescent="0.2"/>
    <row r="142" s="377" customFormat="1" ht="20.100000000000001" customHeight="1" x14ac:dyDescent="0.2"/>
    <row r="143" s="377" customFormat="1" ht="20.100000000000001" customHeight="1" x14ac:dyDescent="0.2"/>
    <row r="144" s="377" customFormat="1" ht="20.100000000000001" customHeight="1" x14ac:dyDescent="0.2"/>
    <row r="145" s="377" customFormat="1" ht="20.100000000000001" customHeight="1" x14ac:dyDescent="0.2"/>
    <row r="146" s="377" customFormat="1" ht="20.100000000000001" customHeight="1" x14ac:dyDescent="0.2"/>
    <row r="147" s="377" customFormat="1" ht="20.100000000000001" customHeight="1" x14ac:dyDescent="0.2"/>
  </sheetData>
  <mergeCells count="32">
    <mergeCell ref="B1:G1"/>
    <mergeCell ref="B2:G2"/>
    <mergeCell ref="I2:M2"/>
    <mergeCell ref="B97:G97"/>
    <mergeCell ref="B47:F47"/>
    <mergeCell ref="B54:G54"/>
    <mergeCell ref="B55:G55"/>
    <mergeCell ref="B79:C79"/>
    <mergeCell ref="B88:F88"/>
    <mergeCell ref="B96:G96"/>
    <mergeCell ref="B35:G35"/>
    <mergeCell ref="B27:C27"/>
    <mergeCell ref="D27:E27"/>
    <mergeCell ref="F27:G27"/>
    <mergeCell ref="B28:C28"/>
    <mergeCell ref="D28:E28"/>
    <mergeCell ref="J21:K21"/>
    <mergeCell ref="D26:E26"/>
    <mergeCell ref="F26:G26"/>
    <mergeCell ref="F28:G28"/>
    <mergeCell ref="B29:C29"/>
    <mergeCell ref="D29:E29"/>
    <mergeCell ref="F29:G29"/>
    <mergeCell ref="B106:G106"/>
    <mergeCell ref="B86:F86"/>
    <mergeCell ref="B3:G3"/>
    <mergeCell ref="E6:G6"/>
    <mergeCell ref="E15:G15"/>
    <mergeCell ref="D30:E30"/>
    <mergeCell ref="F30:G30"/>
    <mergeCell ref="B53:G53"/>
    <mergeCell ref="D102:D103"/>
  </mergeCells>
  <printOptions horizontalCentered="1"/>
  <pageMargins left="0.19685039370078741" right="0.19685039370078741" top="0.19685039370078741" bottom="0.19685039370078741" header="0" footer="0"/>
  <pageSetup paperSize="9" scale="72" orientation="portrait" r:id="rId1"/>
  <headerFooter>
    <oddFooter>Page &amp;P of &amp;N</oddFooter>
  </headerFooter>
  <rowBreaks count="3" manualBreakCount="3">
    <brk id="39" min="1" max="6" man="1"/>
    <brk id="83" min="1" max="6" man="1"/>
    <brk id="109" min="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48"/>
  <sheetViews>
    <sheetView tabSelected="1" topLeftCell="A16" zoomScale="110" zoomScaleNormal="110" workbookViewId="0">
      <selection activeCell="G109" sqref="G109"/>
    </sheetView>
  </sheetViews>
  <sheetFormatPr defaultColWidth="15.7109375" defaultRowHeight="20.100000000000001" customHeight="1" x14ac:dyDescent="0.2"/>
  <cols>
    <col min="1" max="1" width="5.5703125" style="1" customWidth="1"/>
    <col min="2" max="2" width="16.140625" style="137" customWidth="1"/>
    <col min="3" max="3" width="17.28515625" style="137" customWidth="1"/>
    <col min="4" max="4" width="15.5703125" style="137" customWidth="1"/>
    <col min="5" max="5" width="16.42578125" style="137" customWidth="1"/>
    <col min="6" max="6" width="17.7109375" style="137" customWidth="1"/>
    <col min="7" max="7" width="15.28515625" style="137" customWidth="1"/>
    <col min="8" max="8" width="4.140625" style="137" customWidth="1"/>
    <col min="9" max="9" width="10.5703125" style="1" customWidth="1"/>
    <col min="10" max="10" width="22.5703125" style="1" customWidth="1"/>
    <col min="11" max="12" width="15.7109375" style="111"/>
    <col min="13" max="13" width="13.42578125" style="111" customWidth="1"/>
    <col min="14" max="16384" width="15.7109375" style="1"/>
  </cols>
  <sheetData>
    <row r="1" spans="2:15" s="232" customFormat="1" ht="20.100000000000001" customHeight="1" x14ac:dyDescent="0.2">
      <c r="B1" s="567" t="s">
        <v>545</v>
      </c>
      <c r="C1" s="567"/>
      <c r="D1" s="567"/>
      <c r="E1" s="567"/>
      <c r="F1" s="567"/>
      <c r="G1" s="567"/>
      <c r="H1" s="267"/>
      <c r="I1" s="267"/>
      <c r="L1" s="233"/>
      <c r="M1" s="233"/>
      <c r="N1" s="233"/>
    </row>
    <row r="2" spans="2:15" s="232" customFormat="1" ht="20.100000000000001" customHeight="1" x14ac:dyDescent="0.2">
      <c r="B2" s="568" t="s">
        <v>546</v>
      </c>
      <c r="C2" s="568"/>
      <c r="D2" s="568"/>
      <c r="E2" s="568"/>
      <c r="F2" s="568"/>
      <c r="G2" s="568"/>
      <c r="H2" s="266"/>
      <c r="I2" s="287" t="s">
        <v>565</v>
      </c>
      <c r="K2" s="268"/>
      <c r="L2" s="268"/>
      <c r="M2" s="268"/>
      <c r="N2" s="268"/>
      <c r="O2" s="266"/>
    </row>
    <row r="3" spans="2:15" ht="20.100000000000001" customHeight="1" x14ac:dyDescent="0.25">
      <c r="B3" s="597" t="s">
        <v>574</v>
      </c>
      <c r="C3" s="597"/>
      <c r="D3" s="597"/>
      <c r="E3" s="597"/>
      <c r="F3" s="597"/>
      <c r="G3" s="597"/>
      <c r="H3" s="271"/>
      <c r="I3" s="113" t="s">
        <v>239</v>
      </c>
      <c r="J3" s="6"/>
      <c r="K3" s="31"/>
      <c r="L3" s="31"/>
      <c r="M3" s="31"/>
    </row>
    <row r="4" spans="2:15" s="6" customFormat="1" ht="18.95" customHeight="1" x14ac:dyDescent="0.2">
      <c r="B4" s="138" t="s">
        <v>1</v>
      </c>
      <c r="C4" s="139"/>
      <c r="D4" s="140"/>
      <c r="E4" s="138" t="s">
        <v>468</v>
      </c>
      <c r="F4" s="141"/>
      <c r="G4" s="142"/>
      <c r="H4" s="150"/>
      <c r="I4" s="2"/>
      <c r="J4" s="6" t="s">
        <v>240</v>
      </c>
      <c r="K4" s="5" t="s">
        <v>242</v>
      </c>
      <c r="L4" s="316">
        <f>+G36</f>
        <v>1000000</v>
      </c>
      <c r="M4" s="316"/>
    </row>
    <row r="5" spans="2:15" s="6" customFormat="1" ht="18.95" customHeight="1" x14ac:dyDescent="0.2">
      <c r="B5" s="416" t="s">
        <v>491</v>
      </c>
      <c r="C5" s="144"/>
      <c r="D5" s="145"/>
      <c r="E5" s="146">
        <v>28426</v>
      </c>
      <c r="F5" s="147"/>
      <c r="G5" s="148"/>
      <c r="H5" s="147"/>
      <c r="I5" s="286"/>
      <c r="J5" s="6" t="s">
        <v>246</v>
      </c>
      <c r="K5" s="31"/>
      <c r="L5" s="327">
        <f>+G37</f>
        <v>50000</v>
      </c>
      <c r="M5" s="316"/>
    </row>
    <row r="6" spans="2:15" s="6" customFormat="1" ht="18.95" customHeight="1" x14ac:dyDescent="0.2">
      <c r="B6" s="149" t="s">
        <v>3</v>
      </c>
      <c r="C6" s="144"/>
      <c r="D6" s="145"/>
      <c r="E6" s="143" t="s">
        <v>398</v>
      </c>
      <c r="F6" s="143"/>
      <c r="G6" s="231"/>
      <c r="H6" s="150"/>
      <c r="K6" s="5" t="s">
        <v>241</v>
      </c>
      <c r="L6" s="316">
        <f>L4-L5</f>
        <v>950000</v>
      </c>
      <c r="M6" s="316"/>
    </row>
    <row r="7" spans="2:15" s="6" customFormat="1" ht="18.95" customHeight="1" x14ac:dyDescent="0.2">
      <c r="B7" s="143" t="s">
        <v>4</v>
      </c>
      <c r="C7" s="144"/>
      <c r="D7" s="145"/>
      <c r="E7" s="143" t="s">
        <v>469</v>
      </c>
      <c r="F7" s="150"/>
      <c r="G7" s="151"/>
      <c r="H7" s="150"/>
      <c r="I7" s="3"/>
      <c r="J7" s="6" t="s">
        <v>563</v>
      </c>
      <c r="K7" s="299">
        <f>ROUND(L6*0.3,0)</f>
        <v>285000</v>
      </c>
      <c r="L7" s="316"/>
      <c r="M7" s="316"/>
    </row>
    <row r="8" spans="2:15" s="6" customFormat="1" ht="18.95" customHeight="1" x14ac:dyDescent="0.2">
      <c r="B8" s="143" t="s">
        <v>5</v>
      </c>
      <c r="C8" s="144"/>
      <c r="D8" s="145"/>
      <c r="E8" s="221">
        <v>9811116835</v>
      </c>
      <c r="F8" s="150"/>
      <c r="G8" s="151"/>
      <c r="H8" s="150"/>
      <c r="J8" s="6" t="s">
        <v>243</v>
      </c>
      <c r="K8" s="503">
        <f>+G38</f>
        <v>950000</v>
      </c>
      <c r="L8" s="327">
        <f>K7+K8</f>
        <v>1235000</v>
      </c>
      <c r="M8" s="316"/>
    </row>
    <row r="9" spans="2:15" s="6" customFormat="1" ht="18.95" customHeight="1" x14ac:dyDescent="0.25">
      <c r="B9" s="143" t="s">
        <v>6</v>
      </c>
      <c r="C9" s="144"/>
      <c r="D9" s="145"/>
      <c r="E9" s="143" t="s">
        <v>183</v>
      </c>
      <c r="F9" s="150"/>
      <c r="G9" s="151"/>
      <c r="H9" s="150"/>
      <c r="J9" s="253" t="s">
        <v>564</v>
      </c>
      <c r="L9" s="537">
        <f>L8-L6-200000</f>
        <v>85000</v>
      </c>
      <c r="M9" s="328">
        <f>L6-L8+85000</f>
        <v>-200000</v>
      </c>
    </row>
    <row r="10" spans="2:15" s="6" customFormat="1" ht="18.95" customHeight="1" x14ac:dyDescent="0.25">
      <c r="B10" s="143" t="s">
        <v>10</v>
      </c>
      <c r="C10" s="144"/>
      <c r="D10" s="145"/>
      <c r="E10" s="143" t="s">
        <v>11</v>
      </c>
      <c r="F10" s="150"/>
      <c r="G10" s="151"/>
      <c r="H10" s="150"/>
      <c r="I10" s="113" t="s">
        <v>245</v>
      </c>
      <c r="L10" s="316"/>
      <c r="M10" s="316"/>
    </row>
    <row r="11" spans="2:15" s="6" customFormat="1" ht="18.95" customHeight="1" x14ac:dyDescent="0.2">
      <c r="B11" s="143" t="s">
        <v>12</v>
      </c>
      <c r="C11" s="144"/>
      <c r="D11" s="145"/>
      <c r="E11" s="143" t="s">
        <v>184</v>
      </c>
      <c r="F11" s="152"/>
      <c r="G11" s="153"/>
      <c r="H11" s="152"/>
      <c r="I11" s="135">
        <v>280</v>
      </c>
      <c r="J11" s="6" t="s">
        <v>247</v>
      </c>
      <c r="K11" s="240">
        <f>+F41</f>
        <v>43435</v>
      </c>
      <c r="L11" s="316">
        <f>+G41</f>
        <v>4000000</v>
      </c>
      <c r="M11" s="316"/>
    </row>
    <row r="12" spans="2:15" s="6" customFormat="1" ht="18.95" customHeight="1" x14ac:dyDescent="0.2">
      <c r="B12" s="143" t="s">
        <v>14</v>
      </c>
      <c r="C12" s="144"/>
      <c r="D12" s="145"/>
      <c r="E12" s="143" t="s">
        <v>177</v>
      </c>
      <c r="F12" s="150"/>
      <c r="G12" s="151"/>
      <c r="H12" s="150"/>
      <c r="I12" s="136"/>
      <c r="J12" s="6" t="s">
        <v>251</v>
      </c>
      <c r="K12" s="34"/>
      <c r="L12" s="316">
        <f>(+G43)*-1</f>
        <v>-40000</v>
      </c>
      <c r="M12" s="316"/>
    </row>
    <row r="13" spans="2:15" s="6" customFormat="1" ht="18.95" customHeight="1" x14ac:dyDescent="0.2">
      <c r="B13" s="143" t="s">
        <v>292</v>
      </c>
      <c r="C13" s="144"/>
      <c r="D13" s="145"/>
      <c r="E13" s="143" t="s">
        <v>231</v>
      </c>
      <c r="F13" s="150"/>
      <c r="G13" s="151"/>
      <c r="H13" s="150"/>
      <c r="I13" s="136">
        <v>220</v>
      </c>
      <c r="J13" s="6" t="s">
        <v>252</v>
      </c>
      <c r="K13" s="240">
        <f>+F44</f>
        <v>41635</v>
      </c>
      <c r="L13" s="327">
        <f>ROUND((G44*I11/I13)*-1,0)</f>
        <v>-1018182</v>
      </c>
      <c r="M13" s="316"/>
    </row>
    <row r="14" spans="2:15" s="6" customFormat="1" ht="18.95" customHeight="1" x14ac:dyDescent="0.2">
      <c r="B14" s="154" t="s">
        <v>290</v>
      </c>
      <c r="C14" s="144"/>
      <c r="D14" s="145"/>
      <c r="E14" s="143" t="s">
        <v>19</v>
      </c>
      <c r="F14" s="150"/>
      <c r="G14" s="151"/>
      <c r="H14" s="150"/>
      <c r="I14" s="117"/>
      <c r="K14" s="31"/>
      <c r="L14" s="316">
        <f>SUM(L11:L13)</f>
        <v>2941818</v>
      </c>
      <c r="M14" s="316"/>
    </row>
    <row r="15" spans="2:15" s="6" customFormat="1" ht="33.75" customHeight="1" x14ac:dyDescent="0.25">
      <c r="B15" s="155" t="s">
        <v>609</v>
      </c>
      <c r="C15" s="144"/>
      <c r="D15" s="145"/>
      <c r="E15" s="598" t="s">
        <v>594</v>
      </c>
      <c r="F15" s="599"/>
      <c r="G15" s="600"/>
      <c r="H15" s="269"/>
      <c r="I15" s="273" t="s">
        <v>461</v>
      </c>
      <c r="J15" s="6" t="s">
        <v>458</v>
      </c>
      <c r="K15" s="31"/>
      <c r="L15" s="327">
        <v>0</v>
      </c>
      <c r="M15" s="328">
        <f>L14-L15</f>
        <v>2941818</v>
      </c>
    </row>
    <row r="16" spans="2:15" s="6" customFormat="1" ht="18.95" customHeight="1" x14ac:dyDescent="0.25">
      <c r="B16" s="156"/>
      <c r="C16" s="157"/>
      <c r="D16" s="158"/>
      <c r="E16" s="156"/>
      <c r="F16" s="159"/>
      <c r="G16" s="160"/>
      <c r="H16" s="150"/>
      <c r="I16" s="113" t="s">
        <v>254</v>
      </c>
      <c r="K16" s="31"/>
      <c r="L16" s="31"/>
      <c r="M16" s="31"/>
    </row>
    <row r="17" spans="2:13" s="6" customFormat="1" ht="20.100000000000001" customHeight="1" x14ac:dyDescent="0.25">
      <c r="B17" s="513" t="s">
        <v>234</v>
      </c>
      <c r="C17" s="162"/>
      <c r="D17" s="162"/>
      <c r="E17" s="162"/>
      <c r="F17" s="162"/>
      <c r="G17" s="162"/>
      <c r="H17" s="162"/>
      <c r="J17" s="6" t="s">
        <v>467</v>
      </c>
      <c r="K17" s="31"/>
      <c r="L17" s="31"/>
      <c r="M17" s="31"/>
    </row>
    <row r="18" spans="2:13" s="6" customFormat="1" ht="20.100000000000001" customHeight="1" x14ac:dyDescent="0.25">
      <c r="B18" s="163" t="s">
        <v>25</v>
      </c>
      <c r="C18" s="164"/>
      <c r="D18" s="165"/>
      <c r="E18" s="238" t="s">
        <v>547</v>
      </c>
      <c r="F18" s="238" t="s">
        <v>548</v>
      </c>
      <c r="G18" s="238" t="s">
        <v>549</v>
      </c>
      <c r="H18" s="181"/>
      <c r="J18" s="6" t="s">
        <v>255</v>
      </c>
      <c r="K18" s="31"/>
      <c r="L18" s="316"/>
      <c r="M18" s="328">
        <f>+G48</f>
        <v>25000</v>
      </c>
    </row>
    <row r="19" spans="2:13" s="6" customFormat="1" ht="20.100000000000001" customHeight="1" x14ac:dyDescent="0.25">
      <c r="B19" s="163" t="s">
        <v>29</v>
      </c>
      <c r="C19" s="164"/>
      <c r="D19" s="165"/>
      <c r="E19" s="166">
        <v>28426</v>
      </c>
      <c r="F19" s="166">
        <f>+E19</f>
        <v>28426</v>
      </c>
      <c r="G19" s="166">
        <f>+E19</f>
        <v>28426</v>
      </c>
      <c r="H19" s="274"/>
      <c r="I19" s="113" t="s">
        <v>257</v>
      </c>
      <c r="K19" s="31"/>
      <c r="L19" s="316"/>
      <c r="M19" s="316"/>
    </row>
    <row r="20" spans="2:13" s="6" customFormat="1" ht="20.100000000000001" customHeight="1" x14ac:dyDescent="0.2">
      <c r="B20" s="163" t="s">
        <v>31</v>
      </c>
      <c r="C20" s="164"/>
      <c r="D20" s="165"/>
      <c r="E20" s="167">
        <v>0.4</v>
      </c>
      <c r="F20" s="167">
        <f>(1-E20)/2</f>
        <v>0.3</v>
      </c>
      <c r="G20" s="167">
        <f>+F20</f>
        <v>0.3</v>
      </c>
      <c r="H20" s="275"/>
      <c r="I20" s="4"/>
      <c r="J20" s="6" t="s">
        <v>278</v>
      </c>
      <c r="K20" s="31"/>
      <c r="L20" s="316">
        <f>+K33</f>
        <v>5595300</v>
      </c>
      <c r="M20" s="316"/>
    </row>
    <row r="21" spans="2:13" s="6" customFormat="1" ht="55.5" customHeight="1" x14ac:dyDescent="0.25">
      <c r="B21" s="168" t="s">
        <v>235</v>
      </c>
      <c r="C21" s="164"/>
      <c r="D21" s="165"/>
      <c r="E21" s="169" t="s">
        <v>398</v>
      </c>
      <c r="F21" s="169" t="s">
        <v>550</v>
      </c>
      <c r="G21" s="169" t="s">
        <v>589</v>
      </c>
      <c r="H21" s="276"/>
      <c r="J21" s="557" t="s">
        <v>456</v>
      </c>
      <c r="K21" s="557"/>
      <c r="L21" s="327">
        <f>+K36</f>
        <v>3447180</v>
      </c>
      <c r="M21" s="328">
        <f>L20-L21</f>
        <v>2148120</v>
      </c>
    </row>
    <row r="22" spans="2:13" s="6" customFormat="1" ht="20.100000000000001" customHeight="1" x14ac:dyDescent="0.2">
      <c r="B22" s="163" t="s">
        <v>4</v>
      </c>
      <c r="C22" s="164"/>
      <c r="D22" s="165"/>
      <c r="E22" s="238" t="s">
        <v>551</v>
      </c>
      <c r="F22" s="238" t="s">
        <v>552</v>
      </c>
      <c r="G22" s="238" t="s">
        <v>553</v>
      </c>
      <c r="H22" s="181"/>
      <c r="I22" s="34"/>
      <c r="J22" s="6" t="s">
        <v>272</v>
      </c>
      <c r="K22" s="316">
        <f>+D80</f>
        <v>586545</v>
      </c>
      <c r="L22" s="316"/>
      <c r="M22" s="316"/>
    </row>
    <row r="23" spans="2:13" s="6" customFormat="1" ht="20.100000000000001" customHeight="1" x14ac:dyDescent="0.2">
      <c r="B23" s="143" t="s">
        <v>513</v>
      </c>
      <c r="C23" s="144"/>
      <c r="D23" s="144"/>
      <c r="E23" s="289" t="str">
        <f>+E18</f>
        <v xml:space="preserve">Usha Rathore </v>
      </c>
      <c r="F23" s="144"/>
      <c r="G23" s="145"/>
      <c r="H23" s="144"/>
      <c r="I23" s="34" t="s">
        <v>412</v>
      </c>
      <c r="J23" s="6" t="s">
        <v>472</v>
      </c>
      <c r="K23" s="316">
        <f>+G84</f>
        <v>90000</v>
      </c>
      <c r="L23" s="504" t="s">
        <v>582</v>
      </c>
      <c r="M23" s="316"/>
    </row>
    <row r="24" spans="2:13" s="6" customFormat="1" ht="20.100000000000001" customHeight="1" x14ac:dyDescent="0.2">
      <c r="B24" s="156" t="s">
        <v>237</v>
      </c>
      <c r="C24" s="157"/>
      <c r="D24" s="157"/>
      <c r="E24" s="157" t="s">
        <v>554</v>
      </c>
      <c r="F24" s="157"/>
      <c r="G24" s="158"/>
      <c r="H24" s="144"/>
      <c r="I24" s="291" t="s">
        <v>413</v>
      </c>
      <c r="J24" s="272" t="s">
        <v>460</v>
      </c>
      <c r="K24" s="316">
        <f>+G87</f>
        <v>1100000</v>
      </c>
      <c r="L24" s="504" t="s">
        <v>583</v>
      </c>
      <c r="M24" s="316"/>
    </row>
    <row r="25" spans="2:13" s="6" customFormat="1" ht="20.100000000000001" customHeight="1" x14ac:dyDescent="0.2">
      <c r="B25" s="161" t="s">
        <v>197</v>
      </c>
      <c r="C25" s="162"/>
      <c r="D25" s="162"/>
      <c r="E25" s="170"/>
      <c r="F25" s="170" t="s">
        <v>238</v>
      </c>
      <c r="G25" s="162"/>
      <c r="H25" s="162"/>
      <c r="I25" s="34" t="s">
        <v>386</v>
      </c>
      <c r="J25" s="6" t="s">
        <v>387</v>
      </c>
      <c r="K25" s="316">
        <f>G88</f>
        <v>25000</v>
      </c>
      <c r="L25" s="504" t="s">
        <v>582</v>
      </c>
      <c r="M25" s="316"/>
    </row>
    <row r="26" spans="2:13" s="6" customFormat="1" ht="20.100000000000001" customHeight="1" x14ac:dyDescent="0.2">
      <c r="B26" s="237" t="s">
        <v>43</v>
      </c>
      <c r="C26" s="171"/>
      <c r="D26" s="601" t="s">
        <v>590</v>
      </c>
      <c r="E26" s="601"/>
      <c r="F26" s="601" t="s">
        <v>227</v>
      </c>
      <c r="G26" s="601"/>
      <c r="H26" s="277"/>
      <c r="I26" s="34" t="s">
        <v>471</v>
      </c>
      <c r="J26" s="6" t="s">
        <v>470</v>
      </c>
      <c r="K26" s="316">
        <f>D75*0.3</f>
        <v>13500</v>
      </c>
      <c r="L26" s="504" t="s">
        <v>583</v>
      </c>
      <c r="M26" s="316"/>
    </row>
    <row r="27" spans="2:13" s="6" customFormat="1" ht="20.100000000000001" customHeight="1" x14ac:dyDescent="0.2">
      <c r="B27" s="603" t="s">
        <v>47</v>
      </c>
      <c r="C27" s="604"/>
      <c r="D27" s="614">
        <v>327100004521</v>
      </c>
      <c r="E27" s="614"/>
      <c r="F27" s="602">
        <v>12345678987</v>
      </c>
      <c r="G27" s="602"/>
      <c r="H27" s="181"/>
      <c r="I27" s="6" t="s">
        <v>571</v>
      </c>
      <c r="J27" s="6" t="s">
        <v>259</v>
      </c>
      <c r="K27" s="316">
        <f>+D76</f>
        <v>301455</v>
      </c>
      <c r="L27" s="34" t="s">
        <v>410</v>
      </c>
      <c r="M27" s="316"/>
    </row>
    <row r="28" spans="2:13" s="6" customFormat="1" ht="20.100000000000001" customHeight="1" x14ac:dyDescent="0.2">
      <c r="B28" s="603" t="s">
        <v>48</v>
      </c>
      <c r="C28" s="604"/>
      <c r="D28" s="602" t="s">
        <v>591</v>
      </c>
      <c r="E28" s="602"/>
      <c r="F28" s="602" t="s">
        <v>212</v>
      </c>
      <c r="G28" s="602"/>
      <c r="H28" s="181"/>
      <c r="I28" s="6" t="s">
        <v>571</v>
      </c>
      <c r="J28" s="6" t="s">
        <v>260</v>
      </c>
      <c r="K28" s="316">
        <f>(+K63+L63)*-1</f>
        <v>-321200</v>
      </c>
      <c r="L28" s="34" t="s">
        <v>459</v>
      </c>
      <c r="M28" s="316"/>
    </row>
    <row r="29" spans="2:13" s="6" customFormat="1" ht="20.100000000000001" customHeight="1" x14ac:dyDescent="0.2">
      <c r="B29" s="603" t="s">
        <v>51</v>
      </c>
      <c r="C29" s="604"/>
      <c r="D29" s="602" t="s">
        <v>52</v>
      </c>
      <c r="E29" s="602"/>
      <c r="F29" s="602" t="s">
        <v>52</v>
      </c>
      <c r="G29" s="602"/>
      <c r="H29" s="181"/>
      <c r="I29" s="34" t="s">
        <v>414</v>
      </c>
      <c r="J29" s="6" t="s">
        <v>267</v>
      </c>
      <c r="K29" s="309">
        <f>+G49</f>
        <v>80000</v>
      </c>
      <c r="L29" s="504" t="s">
        <v>585</v>
      </c>
      <c r="M29" s="505" t="s">
        <v>573</v>
      </c>
    </row>
    <row r="30" spans="2:13" s="6" customFormat="1" ht="20.100000000000001" customHeight="1" x14ac:dyDescent="0.2">
      <c r="B30" s="172" t="s">
        <v>228</v>
      </c>
      <c r="C30" s="172"/>
      <c r="D30" s="602"/>
      <c r="E30" s="602"/>
      <c r="F30" s="605" t="s">
        <v>182</v>
      </c>
      <c r="G30" s="605"/>
      <c r="H30" s="278"/>
      <c r="I30" s="34" t="s">
        <v>415</v>
      </c>
      <c r="J30" s="272" t="s">
        <v>423</v>
      </c>
      <c r="K30" s="327">
        <f>D77/15*3</f>
        <v>120000</v>
      </c>
      <c r="L30" s="504" t="s">
        <v>583</v>
      </c>
      <c r="M30" s="505">
        <f>3600000-L21</f>
        <v>152820</v>
      </c>
    </row>
    <row r="31" spans="2:13" s="6" customFormat="1" ht="20.100000000000001" customHeight="1" x14ac:dyDescent="0.25">
      <c r="B31" s="161" t="s">
        <v>55</v>
      </c>
      <c r="C31" s="162"/>
      <c r="D31" s="162"/>
      <c r="E31" s="162"/>
      <c r="F31" s="173">
        <v>43769</v>
      </c>
      <c r="G31" s="162"/>
      <c r="H31" s="162"/>
      <c r="J31" s="25" t="s">
        <v>273</v>
      </c>
      <c r="K31" s="328">
        <f>SUM(K22:K30)</f>
        <v>1995300</v>
      </c>
      <c r="L31" s="316"/>
      <c r="M31" s="491"/>
    </row>
    <row r="32" spans="2:13" s="6" customFormat="1" ht="20.100000000000001" customHeight="1" x14ac:dyDescent="0.2">
      <c r="B32" s="161" t="s">
        <v>56</v>
      </c>
      <c r="C32" s="162"/>
      <c r="D32" s="162"/>
      <c r="E32" s="162"/>
      <c r="F32" s="170" t="s">
        <v>57</v>
      </c>
      <c r="G32" s="162"/>
      <c r="H32" s="162"/>
      <c r="J32" s="6" t="s">
        <v>275</v>
      </c>
      <c r="K32" s="316">
        <f>+D78</f>
        <v>3600000</v>
      </c>
      <c r="L32" s="316"/>
      <c r="M32" s="316"/>
    </row>
    <row r="33" spans="2:13" s="6" customFormat="1" ht="20.100000000000001" customHeight="1" thickBot="1" x14ac:dyDescent="0.3">
      <c r="B33" s="174" t="s">
        <v>198</v>
      </c>
      <c r="C33" s="162"/>
      <c r="D33" s="162"/>
      <c r="E33" s="175"/>
      <c r="F33" s="162"/>
      <c r="G33" s="162"/>
      <c r="H33" s="162"/>
      <c r="J33" s="6" t="s">
        <v>274</v>
      </c>
      <c r="K33" s="322">
        <f>K32+K31</f>
        <v>5595300</v>
      </c>
      <c r="L33" s="316"/>
      <c r="M33" s="316"/>
    </row>
    <row r="34" spans="2:13" s="6" customFormat="1" ht="20.100000000000001" customHeight="1" thickTop="1" x14ac:dyDescent="0.25">
      <c r="B34" s="176" t="s">
        <v>59</v>
      </c>
      <c r="C34" s="139"/>
      <c r="D34" s="139"/>
      <c r="E34" s="177"/>
      <c r="F34" s="139"/>
      <c r="G34" s="140"/>
      <c r="H34" s="144"/>
      <c r="I34" s="290" t="s">
        <v>276</v>
      </c>
      <c r="J34" s="6" t="s">
        <v>318</v>
      </c>
      <c r="K34" s="316">
        <f>300000*0.9</f>
        <v>270000</v>
      </c>
      <c r="L34" s="316"/>
      <c r="M34" s="316"/>
    </row>
    <row r="35" spans="2:13" s="6" customFormat="1" ht="30" customHeight="1" x14ac:dyDescent="0.2">
      <c r="B35" s="598" t="s">
        <v>600</v>
      </c>
      <c r="C35" s="599"/>
      <c r="D35" s="599"/>
      <c r="E35" s="599"/>
      <c r="F35" s="599"/>
      <c r="G35" s="600"/>
      <c r="H35" s="269"/>
      <c r="J35" s="6" t="s">
        <v>317</v>
      </c>
      <c r="K35" s="316">
        <f>(K33-300000)*0.6</f>
        <v>3177180</v>
      </c>
      <c r="L35" s="316"/>
      <c r="M35" s="316"/>
    </row>
    <row r="36" spans="2:13" s="6" customFormat="1" ht="20.100000000000001" customHeight="1" thickBot="1" x14ac:dyDescent="0.3">
      <c r="B36" s="143" t="s">
        <v>191</v>
      </c>
      <c r="C36" s="178"/>
      <c r="D36" s="178"/>
      <c r="E36" s="178"/>
      <c r="F36" s="178"/>
      <c r="G36" s="497">
        <v>1000000</v>
      </c>
      <c r="H36" s="279"/>
      <c r="J36" s="6" t="s">
        <v>277</v>
      </c>
      <c r="K36" s="322">
        <f>SUM(K34:K35)</f>
        <v>3447180</v>
      </c>
      <c r="L36" s="316"/>
      <c r="M36" s="316"/>
    </row>
    <row r="37" spans="2:13" s="6" customFormat="1" ht="20.100000000000001" customHeight="1" thickTop="1" x14ac:dyDescent="0.2">
      <c r="B37" s="143" t="s">
        <v>192</v>
      </c>
      <c r="C37" s="144"/>
      <c r="D37" s="144"/>
      <c r="E37" s="144"/>
      <c r="F37" s="180"/>
      <c r="G37" s="497">
        <f>ROUND(G36*0.05,0)</f>
        <v>50000</v>
      </c>
      <c r="H37" s="279"/>
      <c r="I37" s="5"/>
      <c r="K37" s="316"/>
      <c r="L37" s="316"/>
      <c r="M37" s="316"/>
    </row>
    <row r="38" spans="2:13" s="6" customFormat="1" ht="20.100000000000001" customHeight="1" x14ac:dyDescent="0.25">
      <c r="B38" s="143" t="s">
        <v>63</v>
      </c>
      <c r="C38" s="144"/>
      <c r="D38" s="144"/>
      <c r="E38" s="144"/>
      <c r="F38" s="181"/>
      <c r="G38" s="497">
        <f>ROUND(G36*0.95,0)</f>
        <v>950000</v>
      </c>
      <c r="H38" s="279"/>
      <c r="I38" s="34"/>
      <c r="J38" s="123" t="s">
        <v>605</v>
      </c>
      <c r="K38" s="122" t="s">
        <v>606</v>
      </c>
      <c r="L38" s="329"/>
      <c r="M38" s="328">
        <f>SUM(M3:M37)</f>
        <v>5067758</v>
      </c>
    </row>
    <row r="39" spans="2:13" s="6" customFormat="1" ht="20.100000000000001" customHeight="1" x14ac:dyDescent="0.2">
      <c r="B39" s="156" t="s">
        <v>601</v>
      </c>
      <c r="C39" s="157"/>
      <c r="D39" s="157"/>
      <c r="E39" s="157"/>
      <c r="F39" s="222">
        <v>104000</v>
      </c>
      <c r="G39" s="501"/>
      <c r="H39" s="280"/>
      <c r="I39" s="34"/>
      <c r="J39" s="6" t="s">
        <v>281</v>
      </c>
      <c r="K39" s="31"/>
      <c r="L39" s="316"/>
      <c r="M39" s="316">
        <f>+G49</f>
        <v>80000</v>
      </c>
    </row>
    <row r="40" spans="2:13" s="6" customFormat="1" ht="20.100000000000001" customHeight="1" x14ac:dyDescent="0.25">
      <c r="B40" s="176" t="s">
        <v>204</v>
      </c>
      <c r="C40" s="139"/>
      <c r="D40" s="139" t="s">
        <v>567</v>
      </c>
      <c r="E40" s="139"/>
      <c r="F40" s="183"/>
      <c r="G40" s="184"/>
      <c r="H40" s="279"/>
      <c r="I40" s="34"/>
      <c r="J40" s="6" t="s">
        <v>463</v>
      </c>
      <c r="K40" s="31"/>
      <c r="L40" s="316"/>
      <c r="M40" s="316">
        <f>M38-M39</f>
        <v>4987758</v>
      </c>
    </row>
    <row r="41" spans="2:13" s="6" customFormat="1" ht="20.100000000000001" customHeight="1" x14ac:dyDescent="0.2">
      <c r="B41" s="143" t="s">
        <v>248</v>
      </c>
      <c r="C41" s="144"/>
      <c r="D41" s="489" t="s">
        <v>568</v>
      </c>
      <c r="E41" s="60"/>
      <c r="F41" s="485">
        <v>43435</v>
      </c>
      <c r="G41" s="497">
        <v>4000000</v>
      </c>
      <c r="H41" s="279"/>
      <c r="I41" s="34"/>
      <c r="J41" s="6" t="s">
        <v>462</v>
      </c>
      <c r="L41" s="316"/>
      <c r="M41" s="316">
        <f>+G89</f>
        <v>200000</v>
      </c>
    </row>
    <row r="42" spans="2:13" s="6" customFormat="1" ht="20.100000000000001" customHeight="1" thickBot="1" x14ac:dyDescent="0.3">
      <c r="B42" s="143" t="s">
        <v>69</v>
      </c>
      <c r="C42" s="144"/>
      <c r="D42" s="144" t="s">
        <v>603</v>
      </c>
      <c r="E42" s="60"/>
      <c r="F42" s="486"/>
      <c r="G42" s="497">
        <f>ROUND(G41*1.05,0)</f>
        <v>4200000</v>
      </c>
      <c r="H42" s="279"/>
      <c r="I42" s="34"/>
      <c r="J42" s="292" t="s">
        <v>473</v>
      </c>
      <c r="L42" s="390" t="s">
        <v>451</v>
      </c>
      <c r="M42" s="502">
        <f>M40+M41+2</f>
        <v>5187760</v>
      </c>
    </row>
    <row r="43" spans="2:13" s="6" customFormat="1" ht="20.100000000000001" customHeight="1" thickTop="1" x14ac:dyDescent="0.2">
      <c r="B43" s="143" t="s">
        <v>71</v>
      </c>
      <c r="C43" s="144"/>
      <c r="D43" s="60"/>
      <c r="E43" s="60"/>
      <c r="F43" s="60"/>
      <c r="G43" s="497">
        <f>ROUND(G41*0.01,0)</f>
        <v>40000</v>
      </c>
      <c r="H43" s="279"/>
      <c r="I43" s="5"/>
    </row>
    <row r="44" spans="2:13" s="6" customFormat="1" ht="20.100000000000001" customHeight="1" x14ac:dyDescent="0.2">
      <c r="B44" s="143" t="s">
        <v>249</v>
      </c>
      <c r="C44" s="144"/>
      <c r="D44" s="489" t="s">
        <v>399</v>
      </c>
      <c r="E44" s="60"/>
      <c r="F44" s="485">
        <f>F41-1800</f>
        <v>41635</v>
      </c>
      <c r="G44" s="497">
        <f>ROUND(G41/5,0)</f>
        <v>800000</v>
      </c>
      <c r="H44" s="279"/>
      <c r="I44" s="5"/>
      <c r="J44" s="44" t="s">
        <v>282</v>
      </c>
      <c r="K44" s="28">
        <v>0.3</v>
      </c>
      <c r="L44" s="316">
        <f>ROUND((M42-M15)*0.3,0)</f>
        <v>673783</v>
      </c>
      <c r="M44" s="316"/>
    </row>
    <row r="45" spans="2:13" s="6" customFormat="1" ht="20.100000000000001" customHeight="1" x14ac:dyDescent="0.2">
      <c r="B45" s="156" t="s">
        <v>602</v>
      </c>
      <c r="C45" s="157"/>
      <c r="D45" s="157"/>
      <c r="E45" s="63"/>
      <c r="F45" s="487">
        <f>F41+125</f>
        <v>43560</v>
      </c>
      <c r="G45" s="498">
        <f>ROUND(G41*1.25,0)</f>
        <v>5000000</v>
      </c>
      <c r="H45" s="279"/>
      <c r="I45" s="34"/>
      <c r="J45" s="44" t="s">
        <v>283</v>
      </c>
      <c r="K45" s="28">
        <v>0.2</v>
      </c>
      <c r="L45" s="327">
        <f>ROUND(M15*K45,0)</f>
        <v>588364</v>
      </c>
      <c r="M45" s="316"/>
    </row>
    <row r="46" spans="2:13" s="6" customFormat="1" ht="20.100000000000001" customHeight="1" x14ac:dyDescent="0.25">
      <c r="B46" s="176" t="s">
        <v>79</v>
      </c>
      <c r="C46" s="139"/>
      <c r="D46" s="139"/>
      <c r="E46" s="144"/>
      <c r="F46" s="144"/>
      <c r="G46" s="499"/>
      <c r="H46" s="279"/>
      <c r="J46" s="44"/>
      <c r="K46" s="31"/>
      <c r="L46" s="316">
        <f>SUM(L44:L45)</f>
        <v>1262147</v>
      </c>
      <c r="M46" s="316"/>
    </row>
    <row r="47" spans="2:13" s="6" customFormat="1" ht="20.25" customHeight="1" x14ac:dyDescent="0.25">
      <c r="B47" s="598" t="s">
        <v>466</v>
      </c>
      <c r="C47" s="599"/>
      <c r="D47" s="599"/>
      <c r="E47" s="599"/>
      <c r="F47" s="599"/>
      <c r="G47" s="497">
        <v>125000</v>
      </c>
      <c r="H47" s="279"/>
      <c r="I47" s="34"/>
      <c r="J47" s="288" t="s">
        <v>607</v>
      </c>
      <c r="L47" s="327">
        <f>M41*0.3</f>
        <v>60000</v>
      </c>
      <c r="M47" s="536">
        <f>+K44</f>
        <v>0.3</v>
      </c>
    </row>
    <row r="48" spans="2:13" s="6" customFormat="1" ht="20.100000000000001" customHeight="1" x14ac:dyDescent="0.2">
      <c r="B48" s="156" t="s">
        <v>189</v>
      </c>
      <c r="C48" s="159"/>
      <c r="D48" s="159"/>
      <c r="E48" s="159"/>
      <c r="F48" s="188"/>
      <c r="G48" s="498">
        <f>ROUND(G47/5,0)</f>
        <v>25000</v>
      </c>
      <c r="H48" s="279"/>
      <c r="I48" s="5"/>
      <c r="L48" s="316">
        <f>L46-L47</f>
        <v>1202147</v>
      </c>
      <c r="M48" s="316"/>
    </row>
    <row r="49" spans="2:13" s="6" customFormat="1" ht="20.100000000000001" customHeight="1" x14ac:dyDescent="0.2">
      <c r="B49" s="162" t="s">
        <v>465</v>
      </c>
      <c r="C49" s="162"/>
      <c r="D49" s="162"/>
      <c r="E49" s="162"/>
      <c r="F49" s="189"/>
      <c r="G49" s="500">
        <v>80000</v>
      </c>
      <c r="H49" s="190"/>
      <c r="I49" s="5"/>
      <c r="J49" s="251" t="s">
        <v>464</v>
      </c>
      <c r="L49" s="316"/>
      <c r="M49" s="316"/>
    </row>
    <row r="50" spans="2:13" s="6" customFormat="1" ht="20.100000000000001" customHeight="1" x14ac:dyDescent="0.2">
      <c r="B50" s="162" t="s">
        <v>194</v>
      </c>
      <c r="C50" s="162"/>
      <c r="D50" s="162"/>
      <c r="E50" s="162"/>
      <c r="F50" s="162"/>
      <c r="G50" s="500"/>
      <c r="H50" s="190"/>
      <c r="J50" s="44" t="s">
        <v>486</v>
      </c>
      <c r="K50" s="28">
        <v>0.04</v>
      </c>
      <c r="L50" s="327">
        <f>ROUND(K50*L48,0)</f>
        <v>48086</v>
      </c>
      <c r="M50" s="316"/>
    </row>
    <row r="51" spans="2:13" s="6" customFormat="1" ht="20.100000000000001" customHeight="1" x14ac:dyDescent="0.25">
      <c r="B51" s="162" t="s">
        <v>592</v>
      </c>
      <c r="C51" s="162"/>
      <c r="D51" s="162"/>
      <c r="E51" s="162"/>
      <c r="F51" s="189"/>
      <c r="G51" s="500">
        <v>700000</v>
      </c>
      <c r="H51" s="190"/>
      <c r="I51" s="5"/>
      <c r="J51" s="6" t="s">
        <v>286</v>
      </c>
      <c r="K51" s="28"/>
      <c r="L51" s="316"/>
      <c r="M51" s="331">
        <f>L48+L50</f>
        <v>1250233</v>
      </c>
    </row>
    <row r="52" spans="2:13" s="6" customFormat="1" ht="20.100000000000001" customHeight="1" x14ac:dyDescent="0.2">
      <c r="B52" s="162" t="s">
        <v>593</v>
      </c>
      <c r="C52" s="162"/>
      <c r="D52" s="162"/>
      <c r="E52" s="162"/>
      <c r="F52" s="189"/>
      <c r="G52" s="500">
        <v>400000</v>
      </c>
      <c r="H52" s="190"/>
      <c r="I52" s="5"/>
      <c r="J52" s="6" t="s">
        <v>287</v>
      </c>
      <c r="L52" s="316">
        <v>104000</v>
      </c>
      <c r="M52" s="316"/>
    </row>
    <row r="53" spans="2:13" s="6" customFormat="1" ht="20.25" customHeight="1" x14ac:dyDescent="0.2">
      <c r="B53" s="608" t="s">
        <v>570</v>
      </c>
      <c r="C53" s="609"/>
      <c r="D53" s="609"/>
      <c r="E53" s="609"/>
      <c r="F53" s="609"/>
      <c r="G53" s="610"/>
      <c r="H53" s="281"/>
      <c r="J53" s="6" t="s">
        <v>430</v>
      </c>
      <c r="L53" s="327">
        <f>G51+G52</f>
        <v>1100000</v>
      </c>
      <c r="M53" s="327">
        <f>L52+L53</f>
        <v>1204000</v>
      </c>
    </row>
    <row r="54" spans="2:13" s="6" customFormat="1" ht="19.5" customHeight="1" x14ac:dyDescent="0.25">
      <c r="B54" s="611" t="s">
        <v>481</v>
      </c>
      <c r="C54" s="611"/>
      <c r="D54" s="611"/>
      <c r="E54" s="611"/>
      <c r="F54" s="611"/>
      <c r="G54" s="611"/>
      <c r="H54" s="282"/>
      <c r="I54" s="25"/>
      <c r="J54" s="512" t="s">
        <v>588</v>
      </c>
      <c r="L54" s="316"/>
      <c r="M54" s="316">
        <f>M51-M53</f>
        <v>46233</v>
      </c>
    </row>
    <row r="55" spans="2:13" s="6" customFormat="1" ht="17.45" customHeight="1" x14ac:dyDescent="0.2">
      <c r="B55" s="191" t="s">
        <v>202</v>
      </c>
      <c r="C55" s="192"/>
      <c r="D55" s="321">
        <f>ROUND(G58*1.1,0)</f>
        <v>3696000</v>
      </c>
      <c r="E55" s="193" t="s">
        <v>199</v>
      </c>
      <c r="F55" s="194"/>
      <c r="G55" s="321">
        <v>30000000</v>
      </c>
      <c r="H55" s="279"/>
      <c r="I55" s="34"/>
      <c r="J55" s="6" t="s">
        <v>457</v>
      </c>
      <c r="L55" s="316"/>
      <c r="M55" s="316"/>
    </row>
    <row r="56" spans="2:13" s="6" customFormat="1" ht="17.45" customHeight="1" thickBot="1" x14ac:dyDescent="0.3">
      <c r="B56" s="191" t="s">
        <v>203</v>
      </c>
      <c r="C56" s="192"/>
      <c r="D56" s="321">
        <f>ROUND(G55*0.525,0)</f>
        <v>15750000</v>
      </c>
      <c r="E56" s="193" t="s">
        <v>555</v>
      </c>
      <c r="F56" s="194"/>
      <c r="G56" s="321">
        <f>ROUND(G55*0.06,0)</f>
        <v>1800000</v>
      </c>
      <c r="H56" s="279"/>
      <c r="I56" s="34"/>
      <c r="J56" s="512" t="s">
        <v>588</v>
      </c>
      <c r="L56" s="377" t="s">
        <v>451</v>
      </c>
      <c r="M56" s="502">
        <f>M51-M53+M55-3</f>
        <v>46230</v>
      </c>
    </row>
    <row r="57" spans="2:13" s="6" customFormat="1" ht="17.45" customHeight="1" thickTop="1" x14ac:dyDescent="0.2">
      <c r="B57" s="191" t="s">
        <v>557</v>
      </c>
      <c r="C57" s="192"/>
      <c r="D57" s="321">
        <f>ROUND(D56*0.06,0)</f>
        <v>945000</v>
      </c>
      <c r="E57" s="193" t="s">
        <v>556</v>
      </c>
      <c r="F57" s="195"/>
      <c r="G57" s="321">
        <f>+G56</f>
        <v>1800000</v>
      </c>
      <c r="H57" s="279"/>
      <c r="I57" s="34"/>
    </row>
    <row r="58" spans="2:13" s="6" customFormat="1" ht="17.45" customHeight="1" x14ac:dyDescent="0.2">
      <c r="B58" s="191" t="s">
        <v>569</v>
      </c>
      <c r="C58" s="192"/>
      <c r="D58" s="321">
        <f>+D57</f>
        <v>945000</v>
      </c>
      <c r="E58" s="193" t="s">
        <v>164</v>
      </c>
      <c r="F58" s="195"/>
      <c r="G58" s="321">
        <f>ROUND(G55/10+G56/5,0)</f>
        <v>3360000</v>
      </c>
      <c r="H58" s="279"/>
      <c r="I58" s="34"/>
      <c r="K58" s="28">
        <v>0.15</v>
      </c>
      <c r="L58" s="28">
        <v>0.4</v>
      </c>
      <c r="M58" s="31"/>
    </row>
    <row r="59" spans="2:13" s="6" customFormat="1" ht="17.45" customHeight="1" x14ac:dyDescent="0.2">
      <c r="B59" s="191" t="s">
        <v>501</v>
      </c>
      <c r="C59" s="192"/>
      <c r="D59" s="321">
        <f>ROUND(G57/4,0)</f>
        <v>450000</v>
      </c>
      <c r="E59" s="196"/>
      <c r="F59" s="181"/>
      <c r="G59" s="495"/>
      <c r="H59" s="279"/>
      <c r="I59" s="34"/>
      <c r="K59" s="5" t="s">
        <v>262</v>
      </c>
      <c r="L59" s="5" t="s">
        <v>263</v>
      </c>
      <c r="M59" s="31"/>
    </row>
    <row r="60" spans="2:13" s="6" customFormat="1" ht="17.45" customHeight="1" x14ac:dyDescent="0.2">
      <c r="B60" s="198" t="s">
        <v>595</v>
      </c>
      <c r="C60" s="199"/>
      <c r="D60" s="517">
        <f>ROUND(D59/5,0)</f>
        <v>90000</v>
      </c>
      <c r="E60" s="196"/>
      <c r="F60" s="180"/>
      <c r="G60" s="495"/>
      <c r="H60" s="279"/>
      <c r="I60" s="5"/>
      <c r="J60" s="6" t="s">
        <v>264</v>
      </c>
      <c r="K60" s="31">
        <f>(F92+F93-F95)*K58</f>
        <v>188100</v>
      </c>
      <c r="L60" s="31">
        <f>(G92+G93-G95)*L58</f>
        <v>75240</v>
      </c>
      <c r="M60" s="31"/>
    </row>
    <row r="61" spans="2:13" s="6" customFormat="1" ht="17.45" customHeight="1" x14ac:dyDescent="0.25">
      <c r="B61" s="528" t="s">
        <v>529</v>
      </c>
      <c r="C61" s="526"/>
      <c r="D61" s="470">
        <f>D62-SUM(D55:D60)</f>
        <v>15084000</v>
      </c>
      <c r="E61" s="196"/>
      <c r="F61" s="180"/>
      <c r="G61" s="495"/>
      <c r="H61" s="279"/>
      <c r="I61" s="5"/>
      <c r="J61" s="6" t="s">
        <v>265</v>
      </c>
      <c r="K61" s="31">
        <f>F94*K58/2</f>
        <v>9900</v>
      </c>
      <c r="L61" s="31">
        <f>G94*L58/2</f>
        <v>3960</v>
      </c>
      <c r="M61" s="31"/>
    </row>
    <row r="62" spans="2:13" s="6" customFormat="1" ht="17.45" customHeight="1" thickBot="1" x14ac:dyDescent="0.3">
      <c r="B62" s="520"/>
      <c r="C62" s="521"/>
      <c r="D62" s="525">
        <f>+G62</f>
        <v>36960000</v>
      </c>
      <c r="E62" s="522"/>
      <c r="F62" s="523"/>
      <c r="G62" s="524">
        <f>SUM(G55:G60)</f>
        <v>36960000</v>
      </c>
      <c r="H62" s="279"/>
      <c r="I62" s="5"/>
      <c r="J62" s="6" t="s">
        <v>388</v>
      </c>
      <c r="K62" s="31">
        <f>F93*0.2</f>
        <v>44000</v>
      </c>
      <c r="L62" s="31"/>
      <c r="M62" s="31"/>
    </row>
    <row r="63" spans="2:13" s="6" customFormat="1" ht="17.45" customHeight="1" thickTop="1" thickBot="1" x14ac:dyDescent="0.3">
      <c r="B63" s="518" t="s">
        <v>205</v>
      </c>
      <c r="C63" s="519"/>
      <c r="D63" s="496">
        <f>D59+D60</f>
        <v>540000</v>
      </c>
      <c r="E63" s="530" t="str">
        <f>+B61</f>
        <v>Gross Profit</v>
      </c>
      <c r="F63" s="180"/>
      <c r="G63" s="527">
        <f>+D61</f>
        <v>15084000</v>
      </c>
      <c r="H63" s="279"/>
      <c r="I63" s="5"/>
      <c r="K63" s="118">
        <f>SUM(K60:K62)</f>
        <v>242000</v>
      </c>
      <c r="L63" s="118">
        <f>SUM(L60:L62)</f>
        <v>79200</v>
      </c>
      <c r="M63" s="31">
        <f>K63+L63</f>
        <v>321200</v>
      </c>
    </row>
    <row r="64" spans="2:13" s="6" customFormat="1" ht="17.45" customHeight="1" thickTop="1" x14ac:dyDescent="0.2">
      <c r="B64" s="191" t="s">
        <v>596</v>
      </c>
      <c r="C64" s="192"/>
      <c r="D64" s="321">
        <f>ROUND(+D59*1.1,0)</f>
        <v>495000</v>
      </c>
      <c r="E64" s="144"/>
      <c r="F64" s="180"/>
      <c r="G64" s="495"/>
      <c r="H64" s="279"/>
      <c r="I64" s="5"/>
    </row>
    <row r="65" spans="2:13" s="6" customFormat="1" ht="17.45" customHeight="1" x14ac:dyDescent="0.2">
      <c r="B65" s="191" t="s">
        <v>207</v>
      </c>
      <c r="C65" s="192"/>
      <c r="D65" s="321">
        <f>ROUND(+G56/3,0)</f>
        <v>600000</v>
      </c>
      <c r="E65" s="144"/>
      <c r="F65" s="180"/>
      <c r="G65" s="495"/>
      <c r="H65" s="279"/>
      <c r="I65" s="5"/>
    </row>
    <row r="66" spans="2:13" s="6" customFormat="1" ht="17.45" customHeight="1" x14ac:dyDescent="0.2">
      <c r="B66" s="191" t="s">
        <v>107</v>
      </c>
      <c r="C66" s="192"/>
      <c r="D66" s="321">
        <f>ROUND(G55*0.12,0)</f>
        <v>3600000</v>
      </c>
      <c r="E66" s="144"/>
      <c r="F66" s="181"/>
      <c r="G66" s="495"/>
      <c r="H66" s="279"/>
      <c r="I66" s="34"/>
    </row>
    <row r="67" spans="2:13" s="6" customFormat="1" ht="17.45" customHeight="1" x14ac:dyDescent="0.2">
      <c r="B67" s="191" t="s">
        <v>597</v>
      </c>
      <c r="C67" s="192"/>
      <c r="D67" s="321">
        <f>ROUND(+D60+2000,0)</f>
        <v>92000</v>
      </c>
      <c r="E67" s="144"/>
      <c r="F67" s="180"/>
      <c r="G67" s="495"/>
      <c r="H67" s="279"/>
      <c r="I67" s="5"/>
    </row>
    <row r="68" spans="2:13" s="6" customFormat="1" ht="17.45" customHeight="1" x14ac:dyDescent="0.2">
      <c r="B68" s="191" t="s">
        <v>111</v>
      </c>
      <c r="C68" s="192"/>
      <c r="D68" s="321">
        <f>ROUND(G55/62.5,0)</f>
        <v>480000</v>
      </c>
      <c r="E68" s="144"/>
      <c r="F68" s="180"/>
      <c r="G68" s="495"/>
      <c r="H68" s="279"/>
      <c r="I68" s="5"/>
    </row>
    <row r="69" spans="2:13" s="6" customFormat="1" ht="17.45" customHeight="1" x14ac:dyDescent="0.2">
      <c r="B69" s="191" t="s">
        <v>445</v>
      </c>
      <c r="C69" s="192"/>
      <c r="D69" s="321">
        <f>ROUND(D68*2.25,0)</f>
        <v>1080000</v>
      </c>
      <c r="E69" s="144"/>
      <c r="F69" s="181"/>
      <c r="G69" s="495"/>
      <c r="H69" s="279"/>
      <c r="I69" s="34"/>
    </row>
    <row r="70" spans="2:13" s="6" customFormat="1" ht="17.45" customHeight="1" x14ac:dyDescent="0.2">
      <c r="B70" s="191" t="s">
        <v>114</v>
      </c>
      <c r="C70" s="192"/>
      <c r="D70" s="321">
        <f>ROUND(+D65/2,0)</f>
        <v>300000</v>
      </c>
      <c r="E70" s="144"/>
      <c r="F70" s="180"/>
      <c r="G70" s="495"/>
      <c r="H70" s="279"/>
      <c r="I70" s="5"/>
    </row>
    <row r="71" spans="2:13" s="6" customFormat="1" ht="17.45" customHeight="1" x14ac:dyDescent="0.2">
      <c r="B71" s="191" t="s">
        <v>209</v>
      </c>
      <c r="C71" s="192"/>
      <c r="D71" s="321">
        <f>D70+D68</f>
        <v>780000</v>
      </c>
      <c r="E71" s="144"/>
      <c r="F71" s="180"/>
      <c r="G71" s="495"/>
      <c r="H71" s="279"/>
      <c r="I71" s="5"/>
      <c r="K71" s="31"/>
      <c r="L71" s="316"/>
      <c r="M71" s="316"/>
    </row>
    <row r="72" spans="2:13" s="6" customFormat="1" ht="17.45" customHeight="1" x14ac:dyDescent="0.2">
      <c r="B72" s="191" t="s">
        <v>455</v>
      </c>
      <c r="C72" s="192"/>
      <c r="D72" s="321">
        <f>ROUND(G56*0.1,0)</f>
        <v>180000</v>
      </c>
      <c r="E72" s="144"/>
      <c r="F72" s="181"/>
      <c r="G72" s="495"/>
      <c r="H72" s="279"/>
      <c r="I72" s="34"/>
    </row>
    <row r="73" spans="2:13" s="6" customFormat="1" ht="17.45" customHeight="1" x14ac:dyDescent="0.2">
      <c r="B73" s="191" t="s">
        <v>118</v>
      </c>
      <c r="C73" s="192"/>
      <c r="D73" s="321">
        <f>ROUND(D66*0.015,0)</f>
        <v>54000</v>
      </c>
      <c r="E73" s="144"/>
      <c r="F73" s="180"/>
      <c r="G73" s="495"/>
      <c r="H73" s="279"/>
      <c r="I73" s="5"/>
    </row>
    <row r="74" spans="2:13" s="6" customFormat="1" ht="17.45" customHeight="1" x14ac:dyDescent="0.2">
      <c r="B74" s="191" t="s">
        <v>119</v>
      </c>
      <c r="C74" s="192"/>
      <c r="D74" s="321">
        <f>ROUND(G55*0.016,0)</f>
        <v>480000</v>
      </c>
      <c r="E74" s="144"/>
      <c r="F74" s="181"/>
      <c r="G74" s="495"/>
      <c r="H74" s="279"/>
      <c r="I74" s="34"/>
    </row>
    <row r="75" spans="2:13" s="6" customFormat="1" ht="17.45" customHeight="1" x14ac:dyDescent="0.2">
      <c r="B75" s="191" t="s">
        <v>122</v>
      </c>
      <c r="C75" s="192"/>
      <c r="D75" s="321">
        <f>ROUND(G55*0.0015,0)</f>
        <v>45000</v>
      </c>
      <c r="E75" s="144"/>
      <c r="F75" s="180"/>
      <c r="G75" s="495"/>
      <c r="H75" s="279"/>
      <c r="I75" s="5"/>
    </row>
    <row r="76" spans="2:13" s="6" customFormat="1" ht="17.45" customHeight="1" x14ac:dyDescent="0.2">
      <c r="B76" s="191" t="s">
        <v>123</v>
      </c>
      <c r="C76" s="192"/>
      <c r="D76" s="321">
        <f>ROUND(F96*0.18+G96*0.25,0)</f>
        <v>301455</v>
      </c>
      <c r="E76" s="144"/>
      <c r="F76" s="181"/>
      <c r="G76" s="495"/>
      <c r="H76" s="279"/>
      <c r="I76" s="34"/>
    </row>
    <row r="77" spans="2:13" s="6" customFormat="1" ht="23.25" customHeight="1" x14ac:dyDescent="0.2">
      <c r="B77" s="191" t="s">
        <v>566</v>
      </c>
      <c r="C77" s="192"/>
      <c r="D77" s="321">
        <f>(D101+D102+D103)*0.15</f>
        <v>600000</v>
      </c>
      <c r="E77" s="531" t="s">
        <v>598</v>
      </c>
      <c r="F77" s="534">
        <f>(D101+D102+D103)*0.12</f>
        <v>480000</v>
      </c>
      <c r="G77" s="495"/>
      <c r="H77" s="279"/>
      <c r="I77" s="34"/>
    </row>
    <row r="78" spans="2:13" s="6" customFormat="1" ht="29.25" customHeight="1" x14ac:dyDescent="0.2">
      <c r="B78" s="612" t="s">
        <v>572</v>
      </c>
      <c r="C78" s="613"/>
      <c r="D78" s="533">
        <f>100000*12*3</f>
        <v>3600000</v>
      </c>
      <c r="E78" s="532" t="s">
        <v>599</v>
      </c>
      <c r="F78" s="535">
        <f>+K36</f>
        <v>3447180</v>
      </c>
      <c r="G78" s="495"/>
      <c r="H78" s="279"/>
      <c r="I78" s="34"/>
    </row>
    <row r="79" spans="2:13" s="6" customFormat="1" ht="17.45" customHeight="1" x14ac:dyDescent="0.2">
      <c r="B79" s="191" t="s">
        <v>125</v>
      </c>
      <c r="C79" s="192"/>
      <c r="D79" s="321">
        <f>G84+G87+G49</f>
        <v>1270000</v>
      </c>
      <c r="E79" s="144"/>
      <c r="F79" s="181"/>
      <c r="G79" s="495"/>
      <c r="H79" s="279"/>
      <c r="I79" s="34"/>
    </row>
    <row r="80" spans="2:13" s="6" customFormat="1" ht="23.25" customHeight="1" x14ac:dyDescent="0.25">
      <c r="B80" s="529" t="s">
        <v>126</v>
      </c>
      <c r="C80" s="199"/>
      <c r="D80" s="494">
        <f>G81-SUM(D63:D79)</f>
        <v>586545</v>
      </c>
      <c r="E80" s="144"/>
      <c r="F80" s="201"/>
      <c r="G80" s="496"/>
      <c r="H80" s="279"/>
      <c r="I80" s="27"/>
    </row>
    <row r="81" spans="2:13" s="6" customFormat="1" ht="20.100000000000001" customHeight="1" thickBot="1" x14ac:dyDescent="0.3">
      <c r="B81" s="203"/>
      <c r="C81" s="204"/>
      <c r="D81" s="490">
        <f>+G81</f>
        <v>15084000</v>
      </c>
      <c r="E81" s="204"/>
      <c r="F81" s="206"/>
      <c r="G81" s="490">
        <f>SUM(G63:G80)</f>
        <v>15084000</v>
      </c>
      <c r="H81" s="283"/>
      <c r="I81" s="27"/>
    </row>
    <row r="82" spans="2:13" s="6" customFormat="1" ht="20.25" customHeight="1" thickTop="1" x14ac:dyDescent="0.25">
      <c r="B82" s="60" t="s">
        <v>604</v>
      </c>
      <c r="C82" s="60"/>
      <c r="D82" s="351"/>
      <c r="E82" s="309"/>
      <c r="F82" s="352" t="s">
        <v>512</v>
      </c>
      <c r="G82" s="351">
        <f>G55+G56+G57</f>
        <v>33600000</v>
      </c>
      <c r="H82" s="283"/>
      <c r="I82" s="27"/>
    </row>
    <row r="83" spans="2:13" s="6" customFormat="1" ht="21" customHeight="1" x14ac:dyDescent="0.25">
      <c r="B83" s="174" t="s">
        <v>134</v>
      </c>
      <c r="C83" s="162"/>
      <c r="D83" s="162"/>
      <c r="E83" s="162"/>
      <c r="F83" s="162"/>
      <c r="G83" s="162"/>
      <c r="H83" s="162"/>
    </row>
    <row r="84" spans="2:13" s="6" customFormat="1" ht="20.100000000000001" customHeight="1" x14ac:dyDescent="0.2">
      <c r="B84" s="161" t="s">
        <v>333</v>
      </c>
      <c r="C84" s="161"/>
      <c r="D84" s="161"/>
      <c r="E84" s="161"/>
      <c r="F84" s="161"/>
      <c r="G84" s="491">
        <f>ROUND(+D75*2,0)</f>
        <v>90000</v>
      </c>
      <c r="H84" s="207"/>
      <c r="K84" s="31"/>
      <c r="L84" s="31"/>
      <c r="M84" s="31"/>
    </row>
    <row r="85" spans="2:13" s="6" customFormat="1" ht="20.100000000000001" hidden="1" customHeight="1" x14ac:dyDescent="0.2">
      <c r="B85" s="228" t="s">
        <v>268</v>
      </c>
      <c r="C85" s="228"/>
      <c r="D85" s="228"/>
      <c r="E85" s="228"/>
      <c r="F85" s="229">
        <f>+F41</f>
        <v>43435</v>
      </c>
      <c r="G85" s="492">
        <v>0</v>
      </c>
      <c r="H85" s="230"/>
      <c r="I85" s="226"/>
      <c r="K85" s="31"/>
      <c r="L85" s="31"/>
      <c r="M85" s="31"/>
    </row>
    <row r="86" spans="2:13" s="6" customFormat="1" ht="20.100000000000001" customHeight="1" x14ac:dyDescent="0.2">
      <c r="B86" s="161" t="s">
        <v>376</v>
      </c>
      <c r="C86" s="161"/>
      <c r="D86" s="161"/>
      <c r="E86" s="161"/>
      <c r="F86" s="161"/>
      <c r="G86" s="491">
        <f>+D75</f>
        <v>45000</v>
      </c>
      <c r="H86" s="207"/>
      <c r="K86" s="31"/>
      <c r="L86" s="31"/>
      <c r="M86" s="31"/>
    </row>
    <row r="87" spans="2:13" s="6" customFormat="1" ht="20.100000000000001" customHeight="1" x14ac:dyDescent="0.2">
      <c r="B87" s="161" t="s">
        <v>377</v>
      </c>
      <c r="C87" s="161"/>
      <c r="D87" s="161"/>
      <c r="E87" s="161"/>
      <c r="F87" s="161"/>
      <c r="G87" s="491">
        <f>+G51+G52</f>
        <v>1100000</v>
      </c>
      <c r="H87" s="207"/>
      <c r="K87" s="31"/>
      <c r="L87" s="31"/>
      <c r="M87" s="31"/>
    </row>
    <row r="88" spans="2:13" s="6" customFormat="1" ht="22.5" customHeight="1" x14ac:dyDescent="0.2">
      <c r="B88" s="606" t="s">
        <v>558</v>
      </c>
      <c r="C88" s="606"/>
      <c r="D88" s="606"/>
      <c r="E88" s="606"/>
      <c r="F88" s="606"/>
      <c r="G88" s="493">
        <v>25000</v>
      </c>
      <c r="H88" s="208"/>
      <c r="K88" s="5"/>
      <c r="L88" s="5"/>
      <c r="M88" s="31"/>
    </row>
    <row r="89" spans="2:13" s="6" customFormat="1" ht="22.5" customHeight="1" x14ac:dyDescent="0.2">
      <c r="B89" s="606" t="s">
        <v>608</v>
      </c>
      <c r="C89" s="606"/>
      <c r="D89" s="606"/>
      <c r="E89" s="606"/>
      <c r="F89" s="606"/>
      <c r="G89" s="493">
        <v>200000</v>
      </c>
      <c r="H89" s="208"/>
      <c r="K89" s="5"/>
      <c r="L89" s="5"/>
      <c r="M89" s="31"/>
    </row>
    <row r="90" spans="2:13" s="6" customFormat="1" ht="20.100000000000001" customHeight="1" x14ac:dyDescent="0.2">
      <c r="B90" s="161" t="s">
        <v>217</v>
      </c>
      <c r="C90" s="161"/>
      <c r="D90" s="161"/>
      <c r="E90" s="161"/>
      <c r="F90" s="161"/>
      <c r="G90" s="162"/>
      <c r="H90" s="162"/>
    </row>
    <row r="91" spans="2:13" s="6" customFormat="1" ht="22.5" customHeight="1" x14ac:dyDescent="0.2">
      <c r="B91" s="209"/>
      <c r="C91" s="164"/>
      <c r="D91" s="164"/>
      <c r="E91" s="165"/>
      <c r="F91" s="210" t="s">
        <v>229</v>
      </c>
      <c r="G91" s="211" t="s">
        <v>218</v>
      </c>
      <c r="H91" s="284"/>
      <c r="I91" s="34"/>
    </row>
    <row r="92" spans="2:13" s="6" customFormat="1" ht="20.100000000000001" customHeight="1" x14ac:dyDescent="0.2">
      <c r="B92" s="212" t="s">
        <v>373</v>
      </c>
      <c r="C92" s="164"/>
      <c r="D92" s="165"/>
      <c r="E92" s="213">
        <v>43191</v>
      </c>
      <c r="F92" s="318">
        <v>1100000</v>
      </c>
      <c r="G92" s="318">
        <f>ROUND(F92*0.15,0)</f>
        <v>165000</v>
      </c>
      <c r="H92" s="264"/>
      <c r="I92" s="34"/>
    </row>
    <row r="93" spans="2:13" s="6" customFormat="1" ht="20.100000000000001" customHeight="1" x14ac:dyDescent="0.2">
      <c r="B93" s="212" t="s">
        <v>220</v>
      </c>
      <c r="C93" s="164"/>
      <c r="D93" s="165"/>
      <c r="E93" s="213">
        <v>43216</v>
      </c>
      <c r="F93" s="318">
        <f>ROUND(F92*0.2,0)</f>
        <v>220000</v>
      </c>
      <c r="G93" s="318">
        <f>ROUND(G92*0.2,0)</f>
        <v>33000</v>
      </c>
      <c r="H93" s="264"/>
      <c r="I93" s="34"/>
    </row>
    <row r="94" spans="2:13" s="6" customFormat="1" ht="20.100000000000001" customHeight="1" x14ac:dyDescent="0.2">
      <c r="B94" s="212" t="s">
        <v>220</v>
      </c>
      <c r="C94" s="164"/>
      <c r="D94" s="165"/>
      <c r="E94" s="213">
        <f>E93+175</f>
        <v>43391</v>
      </c>
      <c r="F94" s="318">
        <f>ROUND(F93*0.6,0)</f>
        <v>132000</v>
      </c>
      <c r="G94" s="318">
        <f>ROUND(G93*0.6,0)</f>
        <v>19800</v>
      </c>
      <c r="H94" s="264"/>
      <c r="I94" s="34"/>
    </row>
    <row r="95" spans="2:13" s="6" customFormat="1" ht="20.100000000000001" customHeight="1" x14ac:dyDescent="0.2">
      <c r="B95" s="212" t="s">
        <v>221</v>
      </c>
      <c r="C95" s="164"/>
      <c r="D95" s="165"/>
      <c r="E95" s="213">
        <f>E93+35</f>
        <v>43251</v>
      </c>
      <c r="F95" s="318">
        <f>ROUND(F93*0.3,0)</f>
        <v>66000</v>
      </c>
      <c r="G95" s="318">
        <f>ROUND(G93*0.3,0)</f>
        <v>9900</v>
      </c>
      <c r="H95" s="264"/>
      <c r="I95" s="34"/>
    </row>
    <row r="96" spans="2:13" s="6" customFormat="1" ht="20.100000000000001" customHeight="1" x14ac:dyDescent="0.2">
      <c r="B96" s="212" t="s">
        <v>222</v>
      </c>
      <c r="C96" s="164"/>
      <c r="D96" s="165"/>
      <c r="E96" s="213">
        <v>43555</v>
      </c>
      <c r="F96" s="321">
        <f>F92+F93+F94-F95</f>
        <v>1386000</v>
      </c>
      <c r="G96" s="321">
        <f>G92+G93+G94-G95</f>
        <v>207900</v>
      </c>
      <c r="H96" s="279"/>
      <c r="I96" s="34"/>
      <c r="K96" s="121"/>
      <c r="L96" s="121"/>
      <c r="M96" s="31"/>
    </row>
    <row r="97" spans="2:13" s="6" customFormat="1" ht="33" customHeight="1" x14ac:dyDescent="0.2">
      <c r="B97" s="606" t="s">
        <v>559</v>
      </c>
      <c r="C97" s="606"/>
      <c r="D97" s="606"/>
      <c r="E97" s="606"/>
      <c r="F97" s="606"/>
      <c r="G97" s="606"/>
      <c r="H97" s="270"/>
      <c r="K97" s="121"/>
      <c r="L97" s="121"/>
      <c r="M97" s="31"/>
    </row>
    <row r="98" spans="2:13" s="6" customFormat="1" ht="18.75" customHeight="1" x14ac:dyDescent="0.2">
      <c r="B98" s="239"/>
      <c r="C98" s="239"/>
      <c r="D98" s="239"/>
      <c r="E98" s="239"/>
      <c r="F98" s="239"/>
      <c r="G98" s="239"/>
      <c r="H98" s="270"/>
      <c r="K98" s="31"/>
      <c r="L98" s="31"/>
      <c r="M98" s="31"/>
    </row>
    <row r="99" spans="2:13" s="6" customFormat="1" ht="18" customHeight="1" x14ac:dyDescent="0.2">
      <c r="B99" s="607" t="s">
        <v>483</v>
      </c>
      <c r="C99" s="607"/>
      <c r="D99" s="607"/>
      <c r="E99" s="607"/>
      <c r="F99" s="607"/>
      <c r="G99" s="607"/>
      <c r="H99" s="285"/>
      <c r="K99" s="31"/>
      <c r="L99" s="31"/>
      <c r="M99" s="31"/>
    </row>
    <row r="100" spans="2:13" s="6" customFormat="1" ht="20.100000000000001" customHeight="1" x14ac:dyDescent="0.2">
      <c r="B100" s="138" t="s">
        <v>160</v>
      </c>
      <c r="C100" s="140"/>
      <c r="D100" s="321"/>
      <c r="E100" s="212" t="s">
        <v>164</v>
      </c>
      <c r="F100" s="165"/>
      <c r="G100" s="321">
        <f>+G58</f>
        <v>3360000</v>
      </c>
      <c r="H100" s="279"/>
      <c r="K100" s="31"/>
      <c r="L100" s="31"/>
      <c r="M100" s="31"/>
    </row>
    <row r="101" spans="2:13" s="6" customFormat="1" ht="20.100000000000001" customHeight="1" x14ac:dyDescent="0.2">
      <c r="B101" s="507" t="str">
        <f>+E18</f>
        <v xml:space="preserve">Usha Rathore </v>
      </c>
      <c r="C101" s="165"/>
      <c r="D101" s="514">
        <v>1600000</v>
      </c>
      <c r="E101" s="212" t="s">
        <v>561</v>
      </c>
      <c r="F101" s="165"/>
      <c r="G101" s="321">
        <f>ROUND((D101+D102+D103)*1.75,0)</f>
        <v>7000000</v>
      </c>
      <c r="H101" s="279"/>
      <c r="I101" s="34"/>
      <c r="K101" s="31"/>
      <c r="L101" s="31"/>
      <c r="M101" s="31"/>
    </row>
    <row r="102" spans="2:13" s="6" customFormat="1" ht="20.100000000000001" customHeight="1" x14ac:dyDescent="0.2">
      <c r="B102" s="515" t="str">
        <f>+F18</f>
        <v>Vimal Malhotra</v>
      </c>
      <c r="C102" s="516"/>
      <c r="D102" s="321">
        <f>D101/E20*F20</f>
        <v>1200000</v>
      </c>
      <c r="E102" s="212" t="s">
        <v>168</v>
      </c>
      <c r="F102" s="165"/>
      <c r="G102" s="321">
        <f>F96+G96</f>
        <v>1593900</v>
      </c>
      <c r="H102" s="279"/>
      <c r="I102" s="34"/>
      <c r="K102" s="31"/>
      <c r="L102" s="31"/>
      <c r="M102" s="31"/>
    </row>
    <row r="103" spans="2:13" s="6" customFormat="1" ht="20.100000000000001" customHeight="1" x14ac:dyDescent="0.2">
      <c r="B103" s="172" t="str">
        <f>+G18</f>
        <v>Ranjit Chhabra</v>
      </c>
      <c r="C103" s="488"/>
      <c r="D103" s="321">
        <f>D101/E20*G20</f>
        <v>1200000</v>
      </c>
      <c r="E103" s="212" t="s">
        <v>560</v>
      </c>
      <c r="F103" s="165"/>
      <c r="G103" s="321">
        <f>D101+D102</f>
        <v>2800000</v>
      </c>
      <c r="H103" s="279"/>
      <c r="I103" s="34"/>
      <c r="K103" s="31"/>
      <c r="L103" s="31"/>
      <c r="M103" s="31"/>
    </row>
    <row r="104" spans="2:13" s="6" customFormat="1" ht="20.100000000000001" customHeight="1" x14ac:dyDescent="0.2">
      <c r="B104" s="212" t="s">
        <v>562</v>
      </c>
      <c r="C104" s="165"/>
      <c r="D104" s="321">
        <f>D106-D101-D102-D103</f>
        <v>21917775</v>
      </c>
      <c r="E104" s="212" t="s">
        <v>172</v>
      </c>
      <c r="F104" s="165"/>
      <c r="G104" s="321">
        <f>G101+G100+25000</f>
        <v>10385000</v>
      </c>
      <c r="H104" s="279"/>
      <c r="I104" s="5"/>
      <c r="K104" s="31"/>
      <c r="L104" s="31"/>
      <c r="M104" s="31"/>
    </row>
    <row r="105" spans="2:13" s="6" customFormat="1" ht="20.100000000000001" customHeight="1" x14ac:dyDescent="0.2">
      <c r="B105" s="215"/>
      <c r="C105" s="157"/>
      <c r="D105" s="321"/>
      <c r="E105" s="212" t="s">
        <v>174</v>
      </c>
      <c r="F105" s="165"/>
      <c r="G105" s="321">
        <f>ROUND(G104*0.075,0)</f>
        <v>778875</v>
      </c>
      <c r="H105" s="279"/>
      <c r="K105" s="31"/>
      <c r="L105" s="31"/>
      <c r="M105" s="31"/>
    </row>
    <row r="106" spans="2:13" s="6" customFormat="1" ht="20.100000000000001" customHeight="1" thickBot="1" x14ac:dyDescent="0.3">
      <c r="B106" s="203"/>
      <c r="C106" s="204"/>
      <c r="D106" s="490">
        <f>+G106</f>
        <v>25917775</v>
      </c>
      <c r="E106" s="216"/>
      <c r="F106" s="217"/>
      <c r="G106" s="490">
        <f>SUM(G100:G105)</f>
        <v>25917775</v>
      </c>
      <c r="H106" s="283"/>
      <c r="I106" s="5"/>
      <c r="K106" s="31"/>
      <c r="L106" s="31"/>
      <c r="M106" s="31"/>
    </row>
    <row r="107" spans="2:13" s="6" customFormat="1" ht="20.100000000000001" customHeight="1" thickTop="1" x14ac:dyDescent="0.2">
      <c r="B107" s="575" t="s">
        <v>407</v>
      </c>
      <c r="C107" s="575"/>
      <c r="D107" s="575"/>
      <c r="E107" s="575"/>
      <c r="F107" s="575"/>
      <c r="G107" s="575"/>
      <c r="H107" s="162"/>
      <c r="K107" s="31"/>
      <c r="L107" s="31"/>
      <c r="M107" s="31"/>
    </row>
    <row r="108" spans="2:13" s="6" customFormat="1" ht="20.100000000000001" customHeight="1" x14ac:dyDescent="0.2">
      <c r="B108" s="161"/>
      <c r="C108" s="162"/>
      <c r="D108" s="162"/>
      <c r="E108" s="162"/>
      <c r="F108" s="162"/>
      <c r="G108" s="162"/>
      <c r="H108" s="162"/>
      <c r="K108" s="31"/>
      <c r="L108" s="31"/>
      <c r="M108" s="31"/>
    </row>
    <row r="109" spans="2:13" s="6" customFormat="1" ht="20.100000000000001" customHeight="1" x14ac:dyDescent="0.2">
      <c r="B109" s="161"/>
      <c r="C109" s="162"/>
      <c r="D109" s="162"/>
      <c r="E109" s="162"/>
      <c r="F109" s="162"/>
      <c r="G109" s="162"/>
      <c r="H109" s="162"/>
      <c r="K109" s="31"/>
      <c r="L109" s="31"/>
      <c r="M109" s="31"/>
    </row>
    <row r="110" spans="2:13" s="6" customFormat="1" ht="20.100000000000001" customHeight="1" x14ac:dyDescent="0.2">
      <c r="B110" s="162" t="s">
        <v>610</v>
      </c>
      <c r="C110" s="162" t="s">
        <v>615</v>
      </c>
      <c r="D110" s="162"/>
      <c r="E110" s="162"/>
      <c r="F110" s="162"/>
      <c r="G110" s="162"/>
      <c r="H110" s="162"/>
      <c r="K110" s="31"/>
      <c r="L110" s="31"/>
      <c r="M110" s="31"/>
    </row>
    <row r="111" spans="2:13" s="6" customFormat="1" ht="20.100000000000001" customHeight="1" x14ac:dyDescent="0.2">
      <c r="B111" s="162" t="s">
        <v>611</v>
      </c>
      <c r="C111" s="162" t="s">
        <v>617</v>
      </c>
      <c r="D111" s="162"/>
      <c r="E111" s="162"/>
      <c r="F111" s="162"/>
      <c r="G111" s="162"/>
      <c r="H111" s="162"/>
      <c r="K111" s="31"/>
      <c r="L111" s="31"/>
      <c r="M111" s="31"/>
    </row>
    <row r="112" spans="2:13" s="6" customFormat="1" ht="20.100000000000001" customHeight="1" x14ac:dyDescent="0.2">
      <c r="B112" s="162" t="s">
        <v>612</v>
      </c>
      <c r="C112" s="162" t="s">
        <v>616</v>
      </c>
      <c r="D112" s="162"/>
      <c r="E112" s="162"/>
      <c r="F112" s="162"/>
      <c r="G112" s="162"/>
      <c r="H112" s="162"/>
      <c r="K112" s="31"/>
      <c r="L112" s="31"/>
      <c r="M112" s="31"/>
    </row>
    <row r="113" spans="2:13" s="6" customFormat="1" ht="20.100000000000001" customHeight="1" x14ac:dyDescent="0.2">
      <c r="B113" s="162" t="s">
        <v>613</v>
      </c>
      <c r="C113" s="162" t="s">
        <v>619</v>
      </c>
      <c r="D113" s="162"/>
      <c r="E113" s="162"/>
      <c r="F113" s="162"/>
      <c r="G113" s="162"/>
      <c r="H113" s="162"/>
      <c r="K113" s="31"/>
      <c r="L113" s="31"/>
      <c r="M113" s="31"/>
    </row>
    <row r="114" spans="2:13" s="6" customFormat="1" ht="20.100000000000001" customHeight="1" x14ac:dyDescent="0.2">
      <c r="B114" s="162" t="s">
        <v>614</v>
      </c>
      <c r="C114" s="162" t="s">
        <v>618</v>
      </c>
      <c r="D114" s="162"/>
      <c r="E114" s="162"/>
      <c r="F114" s="162"/>
      <c r="G114" s="162"/>
      <c r="H114" s="162"/>
      <c r="K114" s="31"/>
      <c r="L114" s="31"/>
      <c r="M114" s="31"/>
    </row>
    <row r="115" spans="2:13" s="6" customFormat="1" ht="20.100000000000001" customHeight="1" x14ac:dyDescent="0.2">
      <c r="B115" s="162"/>
      <c r="C115" s="162"/>
      <c r="D115" s="162"/>
      <c r="E115" s="162"/>
      <c r="F115" s="162"/>
      <c r="G115" s="162"/>
      <c r="H115" s="162"/>
      <c r="K115" s="31"/>
      <c r="L115" s="31"/>
      <c r="M115" s="31"/>
    </row>
    <row r="116" spans="2:13" s="6" customFormat="1" ht="20.100000000000001" customHeight="1" x14ac:dyDescent="0.2">
      <c r="B116" s="162"/>
      <c r="C116" s="162"/>
      <c r="D116" s="162"/>
      <c r="E116" s="162"/>
      <c r="F116" s="162"/>
      <c r="G116" s="162"/>
      <c r="H116" s="162"/>
      <c r="K116" s="31"/>
      <c r="L116" s="31"/>
      <c r="M116" s="31"/>
    </row>
    <row r="117" spans="2:13" s="6" customFormat="1" ht="20.100000000000001" customHeight="1" x14ac:dyDescent="0.2">
      <c r="B117" s="162"/>
      <c r="C117" s="162"/>
      <c r="D117" s="162"/>
      <c r="E117" s="162"/>
      <c r="F117" s="162"/>
      <c r="G117" s="162"/>
      <c r="H117" s="162"/>
      <c r="K117" s="31"/>
      <c r="L117" s="31"/>
      <c r="M117" s="31"/>
    </row>
    <row r="118" spans="2:13" s="6" customFormat="1" ht="20.100000000000001" customHeight="1" x14ac:dyDescent="0.2">
      <c r="B118" s="162"/>
      <c r="C118" s="162"/>
      <c r="D118" s="162"/>
      <c r="E118" s="162"/>
      <c r="F118" s="162"/>
      <c r="G118" s="162"/>
      <c r="H118" s="162"/>
      <c r="K118" s="31"/>
      <c r="L118" s="31"/>
      <c r="M118" s="31"/>
    </row>
    <row r="119" spans="2:13" s="6" customFormat="1" ht="20.100000000000001" customHeight="1" x14ac:dyDescent="0.2">
      <c r="B119" s="162"/>
      <c r="C119" s="162"/>
      <c r="D119" s="162"/>
      <c r="E119" s="162"/>
      <c r="F119" s="162"/>
      <c r="G119" s="162"/>
      <c r="H119" s="162"/>
      <c r="K119" s="31"/>
      <c r="L119" s="31"/>
      <c r="M119" s="31"/>
    </row>
    <row r="120" spans="2:13" s="6" customFormat="1" ht="20.100000000000001" customHeight="1" x14ac:dyDescent="0.2">
      <c r="B120" s="161"/>
      <c r="C120" s="162"/>
      <c r="D120" s="162"/>
      <c r="E120" s="162"/>
      <c r="F120" s="162"/>
      <c r="G120" s="162"/>
      <c r="H120" s="162"/>
      <c r="K120" s="31"/>
      <c r="L120" s="31"/>
      <c r="M120" s="31"/>
    </row>
    <row r="121" spans="2:13" s="6" customFormat="1" ht="20.100000000000001" customHeight="1" x14ac:dyDescent="0.2">
      <c r="B121" s="162"/>
      <c r="C121" s="162"/>
      <c r="D121" s="162"/>
      <c r="E121" s="162"/>
      <c r="F121" s="162"/>
      <c r="G121" s="162"/>
      <c r="H121" s="162"/>
      <c r="K121" s="31"/>
      <c r="L121" s="31"/>
      <c r="M121" s="31"/>
    </row>
    <row r="122" spans="2:13" s="6" customFormat="1" ht="20.100000000000001" customHeight="1" x14ac:dyDescent="0.2">
      <c r="B122" s="162"/>
      <c r="C122" s="162"/>
      <c r="D122" s="162"/>
      <c r="E122" s="162"/>
      <c r="F122" s="162"/>
      <c r="G122" s="162"/>
      <c r="H122" s="162"/>
      <c r="K122" s="31"/>
      <c r="L122" s="31"/>
      <c r="M122" s="31"/>
    </row>
    <row r="123" spans="2:13" s="6" customFormat="1" ht="20.100000000000001" customHeight="1" x14ac:dyDescent="0.2">
      <c r="B123" s="162"/>
      <c r="C123" s="162"/>
      <c r="D123" s="162"/>
      <c r="E123" s="162"/>
      <c r="F123" s="162"/>
      <c r="G123" s="162"/>
      <c r="H123" s="162"/>
      <c r="K123" s="31"/>
      <c r="L123" s="31"/>
      <c r="M123" s="31"/>
    </row>
    <row r="124" spans="2:13" s="6" customFormat="1" ht="20.100000000000001" customHeight="1" x14ac:dyDescent="0.2">
      <c r="B124" s="162"/>
      <c r="C124" s="162"/>
      <c r="D124" s="162"/>
      <c r="E124" s="162"/>
      <c r="F124" s="162"/>
      <c r="G124" s="162"/>
      <c r="H124" s="162"/>
      <c r="K124" s="31"/>
      <c r="L124" s="31"/>
      <c r="M124" s="31"/>
    </row>
    <row r="125" spans="2:13" s="6" customFormat="1" ht="20.100000000000001" customHeight="1" x14ac:dyDescent="0.2">
      <c r="B125" s="162"/>
      <c r="C125" s="162"/>
      <c r="D125" s="162"/>
      <c r="E125" s="162"/>
      <c r="F125" s="162"/>
      <c r="G125" s="162"/>
      <c r="H125" s="162"/>
      <c r="K125" s="31"/>
      <c r="L125" s="31"/>
      <c r="M125" s="31"/>
    </row>
    <row r="126" spans="2:13" s="6" customFormat="1" ht="20.100000000000001" customHeight="1" x14ac:dyDescent="0.2">
      <c r="B126" s="162"/>
      <c r="C126" s="162"/>
      <c r="D126" s="162"/>
      <c r="E126" s="162"/>
      <c r="F126" s="162"/>
      <c r="G126" s="162"/>
      <c r="H126" s="162"/>
      <c r="K126" s="31"/>
      <c r="L126" s="31"/>
      <c r="M126" s="31"/>
    </row>
    <row r="127" spans="2:13" s="6" customFormat="1" ht="20.100000000000001" customHeight="1" x14ac:dyDescent="0.2">
      <c r="B127" s="162"/>
      <c r="C127" s="162"/>
      <c r="D127" s="162"/>
      <c r="E127" s="162"/>
      <c r="F127" s="162"/>
      <c r="G127" s="162"/>
      <c r="H127" s="162"/>
      <c r="K127" s="31"/>
      <c r="L127" s="31"/>
      <c r="M127" s="31"/>
    </row>
    <row r="128" spans="2:13" s="6" customFormat="1" ht="20.100000000000001" customHeight="1" x14ac:dyDescent="0.2">
      <c r="B128" s="162"/>
      <c r="C128" s="162"/>
      <c r="D128" s="162"/>
      <c r="E128" s="162"/>
      <c r="F128" s="162"/>
      <c r="G128" s="162"/>
      <c r="H128" s="162"/>
      <c r="K128" s="31"/>
      <c r="L128" s="31"/>
      <c r="M128" s="31"/>
    </row>
    <row r="129" spans="2:13" s="6" customFormat="1" ht="20.100000000000001" customHeight="1" x14ac:dyDescent="0.2">
      <c r="B129" s="162"/>
      <c r="C129" s="162"/>
      <c r="D129" s="162"/>
      <c r="E129" s="162"/>
      <c r="F129" s="162"/>
      <c r="G129" s="162"/>
      <c r="H129" s="162"/>
      <c r="K129" s="31"/>
      <c r="L129" s="31"/>
      <c r="M129" s="31"/>
    </row>
    <row r="130" spans="2:13" s="6" customFormat="1" ht="20.100000000000001" customHeight="1" x14ac:dyDescent="0.2">
      <c r="B130" s="162"/>
      <c r="C130" s="162"/>
      <c r="D130" s="162"/>
      <c r="E130" s="162"/>
      <c r="F130" s="162"/>
      <c r="G130" s="162"/>
      <c r="H130" s="162"/>
      <c r="K130" s="31"/>
      <c r="L130" s="31"/>
      <c r="M130" s="31"/>
    </row>
    <row r="131" spans="2:13" s="6" customFormat="1" ht="20.100000000000001" customHeight="1" x14ac:dyDescent="0.2">
      <c r="B131" s="162"/>
      <c r="C131" s="162"/>
      <c r="D131" s="162"/>
      <c r="E131" s="162"/>
      <c r="F131" s="162"/>
      <c r="G131" s="162"/>
      <c r="H131" s="162"/>
      <c r="K131" s="31"/>
      <c r="L131" s="31"/>
      <c r="M131" s="31"/>
    </row>
    <row r="132" spans="2:13" s="6" customFormat="1" ht="20.100000000000001" customHeight="1" x14ac:dyDescent="0.2">
      <c r="B132" s="162"/>
      <c r="C132" s="162"/>
      <c r="D132" s="162"/>
      <c r="E132" s="162"/>
      <c r="F132" s="162"/>
      <c r="G132" s="162"/>
      <c r="H132" s="162"/>
      <c r="K132" s="31"/>
      <c r="L132" s="31"/>
      <c r="M132" s="31"/>
    </row>
    <row r="133" spans="2:13" s="6" customFormat="1" ht="20.100000000000001" customHeight="1" x14ac:dyDescent="0.2">
      <c r="B133" s="162"/>
      <c r="C133" s="162"/>
      <c r="D133" s="162"/>
      <c r="E133" s="162"/>
      <c r="F133" s="162"/>
      <c r="G133" s="162"/>
      <c r="H133" s="162"/>
      <c r="K133" s="31"/>
      <c r="L133" s="31"/>
      <c r="M133" s="31"/>
    </row>
    <row r="134" spans="2:13" s="6" customFormat="1" ht="20.100000000000001" customHeight="1" x14ac:dyDescent="0.2">
      <c r="B134" s="162"/>
      <c r="C134" s="162"/>
      <c r="D134" s="162"/>
      <c r="E134" s="162"/>
      <c r="F134" s="162"/>
      <c r="G134" s="162"/>
      <c r="H134" s="162"/>
      <c r="K134" s="31"/>
      <c r="L134" s="31"/>
      <c r="M134" s="31"/>
    </row>
    <row r="135" spans="2:13" s="6" customFormat="1" ht="20.100000000000001" customHeight="1" x14ac:dyDescent="0.2">
      <c r="B135" s="162"/>
      <c r="C135" s="162"/>
      <c r="D135" s="162"/>
      <c r="E135" s="162"/>
      <c r="F135" s="162"/>
      <c r="G135" s="162"/>
      <c r="H135" s="162"/>
      <c r="K135" s="31"/>
      <c r="L135" s="31"/>
      <c r="M135" s="31"/>
    </row>
    <row r="136" spans="2:13" s="6" customFormat="1" ht="20.100000000000001" customHeight="1" x14ac:dyDescent="0.2">
      <c r="B136" s="162"/>
      <c r="C136" s="162"/>
      <c r="D136" s="162"/>
      <c r="E136" s="162"/>
      <c r="F136" s="162"/>
      <c r="G136" s="162"/>
      <c r="H136" s="162"/>
      <c r="K136" s="31"/>
      <c r="L136" s="31"/>
      <c r="M136" s="31"/>
    </row>
    <row r="137" spans="2:13" s="6" customFormat="1" ht="20.100000000000001" customHeight="1" x14ac:dyDescent="0.2">
      <c r="B137" s="162"/>
      <c r="C137" s="162"/>
      <c r="D137" s="162"/>
      <c r="E137" s="162"/>
      <c r="F137" s="162"/>
      <c r="G137" s="162"/>
      <c r="H137" s="162"/>
      <c r="K137" s="31"/>
      <c r="L137" s="31"/>
      <c r="M137" s="31"/>
    </row>
    <row r="138" spans="2:13" s="6" customFormat="1" ht="20.100000000000001" customHeight="1" x14ac:dyDescent="0.2">
      <c r="B138" s="162"/>
      <c r="C138" s="162"/>
      <c r="D138" s="162"/>
      <c r="E138" s="162"/>
      <c r="F138" s="162"/>
      <c r="G138" s="162"/>
      <c r="H138" s="162"/>
      <c r="K138" s="31"/>
      <c r="L138" s="31"/>
      <c r="M138" s="31"/>
    </row>
    <row r="139" spans="2:13" s="6" customFormat="1" ht="20.100000000000001" customHeight="1" x14ac:dyDescent="0.2">
      <c r="B139" s="162"/>
      <c r="C139" s="162"/>
      <c r="D139" s="162"/>
      <c r="E139" s="162"/>
      <c r="F139" s="162"/>
      <c r="G139" s="162"/>
      <c r="H139" s="162"/>
      <c r="K139" s="31"/>
      <c r="L139" s="31"/>
      <c r="M139" s="31"/>
    </row>
    <row r="140" spans="2:13" s="6" customFormat="1" ht="20.100000000000001" customHeight="1" x14ac:dyDescent="0.2">
      <c r="B140" s="162"/>
      <c r="C140" s="162"/>
      <c r="D140" s="162"/>
      <c r="E140" s="162"/>
      <c r="F140" s="162"/>
      <c r="G140" s="162"/>
      <c r="H140" s="162"/>
      <c r="K140" s="31"/>
      <c r="L140" s="31"/>
      <c r="M140" s="31"/>
    </row>
    <row r="141" spans="2:13" s="6" customFormat="1" ht="20.100000000000001" customHeight="1" x14ac:dyDescent="0.2">
      <c r="B141" s="162"/>
      <c r="C141" s="162"/>
      <c r="D141" s="162"/>
      <c r="E141" s="162"/>
      <c r="F141" s="162"/>
      <c r="G141" s="162"/>
      <c r="H141" s="162"/>
      <c r="K141" s="31"/>
      <c r="L141" s="31"/>
      <c r="M141" s="31"/>
    </row>
    <row r="142" spans="2:13" s="6" customFormat="1" ht="20.100000000000001" customHeight="1" x14ac:dyDescent="0.2">
      <c r="B142" s="162"/>
      <c r="C142" s="162"/>
      <c r="D142" s="162"/>
      <c r="E142" s="162"/>
      <c r="F142" s="162"/>
      <c r="G142" s="162"/>
      <c r="H142" s="162"/>
      <c r="K142" s="31"/>
      <c r="L142" s="31"/>
      <c r="M142" s="31"/>
    </row>
    <row r="143" spans="2:13" s="6" customFormat="1" ht="20.100000000000001" customHeight="1" x14ac:dyDescent="0.2">
      <c r="B143" s="162"/>
      <c r="C143" s="162"/>
      <c r="D143" s="162"/>
      <c r="E143" s="162"/>
      <c r="F143" s="162"/>
      <c r="G143" s="162"/>
      <c r="H143" s="162"/>
      <c r="K143" s="31"/>
      <c r="L143" s="31"/>
      <c r="M143" s="31"/>
    </row>
    <row r="144" spans="2:13" s="6" customFormat="1" ht="20.100000000000001" customHeight="1" x14ac:dyDescent="0.2">
      <c r="B144" s="162"/>
      <c r="C144" s="162"/>
      <c r="D144" s="162"/>
      <c r="E144" s="162"/>
      <c r="F144" s="162"/>
      <c r="G144" s="162"/>
      <c r="H144" s="162"/>
      <c r="K144" s="31"/>
      <c r="L144" s="31"/>
      <c r="M144" s="31"/>
    </row>
    <row r="145" spans="2:13" s="6" customFormat="1" ht="20.100000000000001" customHeight="1" x14ac:dyDescent="0.2">
      <c r="B145" s="162"/>
      <c r="C145" s="162"/>
      <c r="D145" s="162"/>
      <c r="E145" s="162"/>
      <c r="F145" s="162"/>
      <c r="G145" s="162"/>
      <c r="H145" s="162"/>
      <c r="K145" s="31"/>
      <c r="L145" s="31"/>
      <c r="M145" s="31"/>
    </row>
    <row r="146" spans="2:13" s="6" customFormat="1" ht="20.100000000000001" customHeight="1" x14ac:dyDescent="0.2">
      <c r="B146" s="162"/>
      <c r="C146" s="162"/>
      <c r="D146" s="162"/>
      <c r="E146" s="162"/>
      <c r="F146" s="162"/>
      <c r="G146" s="162"/>
      <c r="H146" s="162"/>
      <c r="K146" s="31"/>
      <c r="L146" s="31"/>
      <c r="M146" s="31"/>
    </row>
    <row r="147" spans="2:13" s="6" customFormat="1" ht="20.100000000000001" customHeight="1" x14ac:dyDescent="0.2">
      <c r="B147" s="162"/>
      <c r="C147" s="162"/>
      <c r="D147" s="162"/>
      <c r="E147" s="162"/>
      <c r="F147" s="162"/>
      <c r="G147" s="162"/>
      <c r="H147" s="162"/>
      <c r="K147" s="31"/>
      <c r="L147" s="31"/>
      <c r="M147" s="31"/>
    </row>
    <row r="148" spans="2:13" s="6" customFormat="1" ht="20.100000000000001" customHeight="1" x14ac:dyDescent="0.2">
      <c r="B148" s="162"/>
      <c r="C148" s="162"/>
      <c r="D148" s="162"/>
      <c r="E148" s="162"/>
      <c r="F148" s="162"/>
      <c r="G148" s="162"/>
      <c r="H148" s="162"/>
      <c r="K148" s="31"/>
      <c r="L148" s="31"/>
      <c r="M148" s="31"/>
    </row>
  </sheetData>
  <mergeCells count="28">
    <mergeCell ref="B1:G1"/>
    <mergeCell ref="B2:G2"/>
    <mergeCell ref="B99:G99"/>
    <mergeCell ref="B47:F47"/>
    <mergeCell ref="B53:G53"/>
    <mergeCell ref="B54:G54"/>
    <mergeCell ref="B78:C78"/>
    <mergeCell ref="B88:F88"/>
    <mergeCell ref="B97:G97"/>
    <mergeCell ref="B35:G35"/>
    <mergeCell ref="B27:C27"/>
    <mergeCell ref="D27:E27"/>
    <mergeCell ref="F27:G27"/>
    <mergeCell ref="B28:C28"/>
    <mergeCell ref="D28:E28"/>
    <mergeCell ref="B107:G107"/>
    <mergeCell ref="B3:G3"/>
    <mergeCell ref="E15:G15"/>
    <mergeCell ref="J21:K21"/>
    <mergeCell ref="D26:E26"/>
    <mergeCell ref="F26:G26"/>
    <mergeCell ref="F28:G28"/>
    <mergeCell ref="B29:C29"/>
    <mergeCell ref="D29:E29"/>
    <mergeCell ref="F29:G29"/>
    <mergeCell ref="D30:E30"/>
    <mergeCell ref="F30:G30"/>
    <mergeCell ref="B89:F89"/>
  </mergeCells>
  <printOptions horizontalCentered="1"/>
  <pageMargins left="0.19685039370078741" right="0.19685039370078741" top="0.19685039370078741" bottom="0.19685039370078741" header="0" footer="0"/>
  <pageSetup paperSize="9" orientation="portrait" r:id="rId1"/>
  <rowBreaks count="1" manualBreakCount="1">
    <brk id="39" min="1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4"/>
  <sheetViews>
    <sheetView zoomScaleNormal="100" workbookViewId="0">
      <selection activeCell="C16" sqref="C16"/>
    </sheetView>
  </sheetViews>
  <sheetFormatPr defaultColWidth="15.7109375" defaultRowHeight="20.100000000000001" customHeight="1" x14ac:dyDescent="0.2"/>
  <cols>
    <col min="1" max="2" width="15.7109375" style="1" customWidth="1"/>
    <col min="3" max="6" width="15.7109375" style="1"/>
    <col min="7" max="7" width="6.28515625" style="1" customWidth="1"/>
    <col min="8" max="8" width="20.28515625" style="1" customWidth="1"/>
    <col min="9" max="11" width="15.7109375" style="111"/>
    <col min="12" max="16384" width="15.7109375" style="1"/>
  </cols>
  <sheetData>
    <row r="1" spans="1:11" ht="20.100000000000001" customHeight="1" x14ac:dyDescent="0.2">
      <c r="A1" s="130" t="s">
        <v>294</v>
      </c>
      <c r="B1" s="130"/>
      <c r="C1" s="130"/>
      <c r="D1" s="130"/>
      <c r="E1" s="130"/>
    </row>
    <row r="2" spans="1:11" ht="20.100000000000001" customHeight="1" x14ac:dyDescent="0.25">
      <c r="A2" s="553" t="s">
        <v>295</v>
      </c>
      <c r="B2" s="553"/>
      <c r="C2" s="553"/>
      <c r="D2" s="553"/>
      <c r="E2" s="553"/>
      <c r="F2" s="553"/>
    </row>
    <row r="3" spans="1:11" s="6" customFormat="1" ht="18.95" customHeight="1" x14ac:dyDescent="0.25">
      <c r="A3" s="90" t="s">
        <v>1</v>
      </c>
      <c r="B3" s="58"/>
      <c r="C3" s="59"/>
      <c r="D3" s="90" t="s">
        <v>190</v>
      </c>
      <c r="E3" s="91"/>
      <c r="F3" s="92"/>
      <c r="G3" s="113" t="s">
        <v>239</v>
      </c>
      <c r="I3" s="31"/>
      <c r="J3" s="31"/>
      <c r="K3" s="31"/>
    </row>
    <row r="4" spans="1:11" s="6" customFormat="1" ht="18.95" customHeight="1" x14ac:dyDescent="0.2">
      <c r="A4" s="96" t="s">
        <v>2</v>
      </c>
      <c r="B4" s="60"/>
      <c r="C4" s="61"/>
      <c r="D4" s="93">
        <v>31735</v>
      </c>
      <c r="E4" s="94"/>
      <c r="F4" s="95"/>
      <c r="G4" s="2"/>
      <c r="H4" s="6" t="s">
        <v>240</v>
      </c>
      <c r="I4" s="5" t="s">
        <v>242</v>
      </c>
      <c r="J4" s="31">
        <f>+F35</f>
        <v>1200000</v>
      </c>
      <c r="K4" s="31"/>
    </row>
    <row r="5" spans="1:11" s="6" customFormat="1" ht="18.95" customHeight="1" x14ac:dyDescent="0.2">
      <c r="A5" s="106" t="s">
        <v>3</v>
      </c>
      <c r="B5" s="60"/>
      <c r="C5" s="61"/>
      <c r="D5" s="554" t="s">
        <v>293</v>
      </c>
      <c r="E5" s="555"/>
      <c r="F5" s="556"/>
      <c r="H5" s="6" t="s">
        <v>246</v>
      </c>
      <c r="I5" s="31"/>
      <c r="J5" s="110">
        <f>+F36</f>
        <v>60000</v>
      </c>
      <c r="K5" s="31"/>
    </row>
    <row r="6" spans="1:11" s="6" customFormat="1" ht="18.95" customHeight="1" x14ac:dyDescent="0.2">
      <c r="A6" s="96" t="s">
        <v>4</v>
      </c>
      <c r="B6" s="60"/>
      <c r="C6" s="61"/>
      <c r="D6" s="96" t="s">
        <v>304</v>
      </c>
      <c r="E6" s="97"/>
      <c r="F6" s="98"/>
      <c r="I6" s="5" t="s">
        <v>241</v>
      </c>
      <c r="J6" s="31">
        <f>J4-J5</f>
        <v>1140000</v>
      </c>
      <c r="K6" s="31"/>
    </row>
    <row r="7" spans="1:11" s="6" customFormat="1" ht="18.95" customHeight="1" x14ac:dyDescent="0.2">
      <c r="A7" s="96" t="s">
        <v>5</v>
      </c>
      <c r="B7" s="60"/>
      <c r="C7" s="61"/>
      <c r="D7" s="96">
        <v>9811116835</v>
      </c>
      <c r="E7" s="97"/>
      <c r="F7" s="98"/>
      <c r="G7" s="3"/>
      <c r="H7" s="6" t="s">
        <v>244</v>
      </c>
      <c r="I7" s="24">
        <f>ROUND(J6*0.3,0)</f>
        <v>342000</v>
      </c>
      <c r="J7" s="31"/>
      <c r="K7" s="31"/>
    </row>
    <row r="8" spans="1:11" s="6" customFormat="1" ht="18.95" customHeight="1" x14ac:dyDescent="0.25">
      <c r="A8" s="96" t="s">
        <v>6</v>
      </c>
      <c r="B8" s="60"/>
      <c r="C8" s="61"/>
      <c r="D8" s="96" t="s">
        <v>183</v>
      </c>
      <c r="E8" s="97"/>
      <c r="F8" s="98"/>
      <c r="H8" s="6" t="s">
        <v>243</v>
      </c>
      <c r="I8" s="26">
        <f>+F37</f>
        <v>300000</v>
      </c>
      <c r="J8" s="110">
        <f>I7+I8</f>
        <v>642000</v>
      </c>
      <c r="K8" s="112">
        <f>J6-J8</f>
        <v>498000</v>
      </c>
    </row>
    <row r="9" spans="1:11" s="6" customFormat="1" ht="18.95" customHeight="1" x14ac:dyDescent="0.25">
      <c r="A9" s="96" t="s">
        <v>10</v>
      </c>
      <c r="B9" s="60"/>
      <c r="C9" s="61"/>
      <c r="D9" s="96" t="s">
        <v>11</v>
      </c>
      <c r="E9" s="97"/>
      <c r="F9" s="98"/>
      <c r="G9" s="113" t="s">
        <v>245</v>
      </c>
      <c r="J9" s="31"/>
      <c r="K9" s="31"/>
    </row>
    <row r="10" spans="1:11" s="6" customFormat="1" ht="18.95" customHeight="1" x14ac:dyDescent="0.25">
      <c r="A10" s="96" t="s">
        <v>12</v>
      </c>
      <c r="B10" s="60"/>
      <c r="C10" s="61"/>
      <c r="D10" s="99" t="s">
        <v>184</v>
      </c>
      <c r="E10" s="100"/>
      <c r="F10" s="101"/>
      <c r="G10" s="119">
        <v>1081</v>
      </c>
      <c r="H10" s="6" t="s">
        <v>247</v>
      </c>
      <c r="I10" s="116">
        <f>+D40</f>
        <v>42401</v>
      </c>
      <c r="J10" s="31">
        <f>+F41</f>
        <v>5150000</v>
      </c>
      <c r="K10" s="31"/>
    </row>
    <row r="11" spans="1:11" s="6" customFormat="1" ht="18.95" customHeight="1" x14ac:dyDescent="0.2">
      <c r="A11" s="96" t="s">
        <v>14</v>
      </c>
      <c r="B11" s="60"/>
      <c r="C11" s="61"/>
      <c r="D11" s="96" t="s">
        <v>177</v>
      </c>
      <c r="E11" s="97"/>
      <c r="F11" s="98"/>
      <c r="G11" s="23"/>
      <c r="H11" s="6" t="s">
        <v>251</v>
      </c>
      <c r="J11" s="31">
        <f>(+F42)*-1</f>
        <v>-50000</v>
      </c>
      <c r="K11" s="31"/>
    </row>
    <row r="12" spans="1:11" s="6" customFormat="1" ht="18.95" customHeight="1" x14ac:dyDescent="0.2">
      <c r="A12" s="96" t="s">
        <v>292</v>
      </c>
      <c r="B12" s="60"/>
      <c r="C12" s="61"/>
      <c r="D12" s="96" t="s">
        <v>231</v>
      </c>
      <c r="E12" s="97"/>
      <c r="F12" s="98"/>
      <c r="G12" s="23">
        <v>161</v>
      </c>
      <c r="H12" s="6" t="s">
        <v>252</v>
      </c>
      <c r="I12" s="116">
        <f>+D43</f>
        <v>32401</v>
      </c>
      <c r="J12" s="110">
        <f>ROUND((F43*G10/G12)*-1,0)</f>
        <v>-839286</v>
      </c>
      <c r="K12" s="31"/>
    </row>
    <row r="13" spans="1:11" s="6" customFormat="1" ht="18.95" customHeight="1" x14ac:dyDescent="0.2">
      <c r="A13" s="126" t="s">
        <v>290</v>
      </c>
      <c r="B13" s="60"/>
      <c r="C13" s="61"/>
      <c r="D13" s="96" t="s">
        <v>19</v>
      </c>
      <c r="E13" s="97"/>
      <c r="F13" s="98"/>
      <c r="G13" s="117"/>
      <c r="I13" s="31"/>
      <c r="J13" s="31">
        <f>SUM(J10:J12)</f>
        <v>4260714</v>
      </c>
      <c r="K13" s="31"/>
    </row>
    <row r="14" spans="1:11" s="6" customFormat="1" ht="30" customHeight="1" x14ac:dyDescent="0.25">
      <c r="A14" s="134" t="s">
        <v>337</v>
      </c>
      <c r="B14" s="60"/>
      <c r="C14" s="61"/>
      <c r="D14" s="539" t="s">
        <v>346</v>
      </c>
      <c r="E14" s="540"/>
      <c r="F14" s="548"/>
      <c r="G14" s="117"/>
      <c r="H14" s="6" t="s">
        <v>253</v>
      </c>
      <c r="I14" s="31"/>
      <c r="J14" s="110">
        <f>+F44</f>
        <v>3000000</v>
      </c>
      <c r="K14" s="112">
        <f>J13-J14</f>
        <v>1260714</v>
      </c>
    </row>
    <row r="15" spans="1:11" s="6" customFormat="1" ht="18.95" customHeight="1" x14ac:dyDescent="0.25">
      <c r="A15" s="102" t="s">
        <v>22</v>
      </c>
      <c r="B15" s="63"/>
      <c r="C15" s="64"/>
      <c r="D15" s="102" t="s">
        <v>185</v>
      </c>
      <c r="E15" s="103"/>
      <c r="F15" s="104"/>
      <c r="G15" s="113" t="s">
        <v>254</v>
      </c>
      <c r="I15" s="31"/>
      <c r="J15" s="31"/>
      <c r="K15" s="31"/>
    </row>
    <row r="16" spans="1:11" s="6" customFormat="1" ht="20.100000000000001" customHeight="1" x14ac:dyDescent="0.2">
      <c r="A16" s="32" t="s">
        <v>234</v>
      </c>
      <c r="H16" s="6" t="s">
        <v>256</v>
      </c>
      <c r="I16" s="31"/>
      <c r="J16" s="31"/>
      <c r="K16" s="31"/>
    </row>
    <row r="17" spans="1:11" s="6" customFormat="1" ht="20.100000000000001" customHeight="1" x14ac:dyDescent="0.25">
      <c r="A17" s="43" t="s">
        <v>25</v>
      </c>
      <c r="B17" s="40"/>
      <c r="C17" s="41"/>
      <c r="D17" s="129" t="s">
        <v>178</v>
      </c>
      <c r="E17" s="129" t="s">
        <v>27</v>
      </c>
      <c r="F17" s="129" t="s">
        <v>179</v>
      </c>
      <c r="H17" s="6" t="s">
        <v>255</v>
      </c>
      <c r="I17" s="31"/>
      <c r="J17" s="31"/>
      <c r="K17" s="112">
        <f>+F47</f>
        <v>10000</v>
      </c>
    </row>
    <row r="18" spans="1:11" s="6" customFormat="1" ht="20.100000000000001" customHeight="1" x14ac:dyDescent="0.25">
      <c r="A18" s="43" t="s">
        <v>29</v>
      </c>
      <c r="B18" s="40"/>
      <c r="C18" s="41"/>
      <c r="D18" s="35">
        <f>+D4</f>
        <v>31735</v>
      </c>
      <c r="E18" s="35">
        <f>+D18</f>
        <v>31735</v>
      </c>
      <c r="F18" s="35">
        <f>+D18</f>
        <v>31735</v>
      </c>
      <c r="G18" s="113" t="s">
        <v>257</v>
      </c>
      <c r="I18" s="31"/>
      <c r="J18" s="31"/>
      <c r="K18" s="31"/>
    </row>
    <row r="19" spans="1:11" s="6" customFormat="1" ht="20.100000000000001" customHeight="1" x14ac:dyDescent="0.2">
      <c r="A19" s="43" t="s">
        <v>31</v>
      </c>
      <c r="B19" s="40"/>
      <c r="C19" s="41"/>
      <c r="D19" s="36">
        <v>0.5</v>
      </c>
      <c r="E19" s="37">
        <f>(1-D19)/2</f>
        <v>0.25</v>
      </c>
      <c r="F19" s="37">
        <f>+E19</f>
        <v>0.25</v>
      </c>
      <c r="G19" s="4"/>
      <c r="H19" s="6" t="s">
        <v>278</v>
      </c>
      <c r="I19" s="31"/>
      <c r="J19" s="31">
        <f>+I31</f>
        <v>2213750</v>
      </c>
      <c r="K19" s="31"/>
    </row>
    <row r="20" spans="1:11" s="6" customFormat="1" ht="55.5" customHeight="1" x14ac:dyDescent="0.25">
      <c r="A20" s="107" t="s">
        <v>235</v>
      </c>
      <c r="B20" s="40"/>
      <c r="C20" s="41"/>
      <c r="D20" s="38" t="s">
        <v>187</v>
      </c>
      <c r="E20" s="38" t="s">
        <v>186</v>
      </c>
      <c r="F20" s="38" t="s">
        <v>188</v>
      </c>
      <c r="H20" s="557" t="s">
        <v>279</v>
      </c>
      <c r="I20" s="557"/>
      <c r="J20" s="110">
        <f>+I35</f>
        <v>1418250</v>
      </c>
      <c r="K20" s="112">
        <f>J19-J20</f>
        <v>795500</v>
      </c>
    </row>
    <row r="21" spans="1:11" s="6" customFormat="1" ht="20.100000000000001" customHeight="1" x14ac:dyDescent="0.2">
      <c r="A21" s="43" t="s">
        <v>4</v>
      </c>
      <c r="B21" s="40"/>
      <c r="C21" s="41"/>
      <c r="D21" s="129" t="s">
        <v>180</v>
      </c>
      <c r="E21" s="129" t="s">
        <v>37</v>
      </c>
      <c r="F21" s="129" t="s">
        <v>181</v>
      </c>
      <c r="H21" s="6" t="s">
        <v>272</v>
      </c>
      <c r="I21" s="31">
        <f>+C78</f>
        <v>211700</v>
      </c>
      <c r="J21" s="31"/>
      <c r="K21" s="31"/>
    </row>
    <row r="22" spans="1:11" s="6" customFormat="1" ht="20.100000000000001" customHeight="1" x14ac:dyDescent="0.2">
      <c r="A22" s="96" t="s">
        <v>39</v>
      </c>
      <c r="B22" s="60"/>
      <c r="C22" s="60"/>
      <c r="D22" s="60" t="str">
        <f>+D17</f>
        <v xml:space="preserve">Mohd Sajid </v>
      </c>
      <c r="E22" s="60"/>
      <c r="F22" s="61"/>
      <c r="H22" s="6" t="s">
        <v>224</v>
      </c>
      <c r="I22" s="31">
        <f>+F81+F84</f>
        <v>102000</v>
      </c>
      <c r="J22" s="31"/>
      <c r="K22" s="31"/>
    </row>
    <row r="23" spans="1:11" s="6" customFormat="1" ht="20.100000000000001" customHeight="1" x14ac:dyDescent="0.2">
      <c r="A23" s="102" t="s">
        <v>237</v>
      </c>
      <c r="B23" s="63"/>
      <c r="C23" s="63"/>
      <c r="D23" s="63" t="s">
        <v>236</v>
      </c>
      <c r="E23" s="63"/>
      <c r="F23" s="64"/>
      <c r="G23" s="23" t="s">
        <v>226</v>
      </c>
      <c r="H23" s="6" t="s">
        <v>225</v>
      </c>
      <c r="I23" s="31">
        <f>F82*-1</f>
        <v>-12000</v>
      </c>
      <c r="J23" s="31"/>
      <c r="K23" s="31"/>
    </row>
    <row r="24" spans="1:11" s="6" customFormat="1" ht="20.100000000000001" customHeight="1" x14ac:dyDescent="0.2">
      <c r="A24" s="32" t="s">
        <v>197</v>
      </c>
      <c r="D24" s="34"/>
      <c r="E24" s="34" t="s">
        <v>238</v>
      </c>
      <c r="G24" s="6" t="s">
        <v>269</v>
      </c>
      <c r="H24" s="6" t="s">
        <v>258</v>
      </c>
      <c r="I24" s="31">
        <f>F85*-1</f>
        <v>-10000</v>
      </c>
      <c r="J24" s="31"/>
      <c r="K24" s="31"/>
    </row>
    <row r="25" spans="1:11" s="6" customFormat="1" ht="20.100000000000001" customHeight="1" x14ac:dyDescent="0.2">
      <c r="A25" s="127" t="s">
        <v>43</v>
      </c>
      <c r="B25" s="45"/>
      <c r="C25" s="558" t="s">
        <v>45</v>
      </c>
      <c r="D25" s="558"/>
      <c r="E25" s="558" t="s">
        <v>227</v>
      </c>
      <c r="F25" s="558"/>
      <c r="G25" s="34"/>
      <c r="H25" s="6" t="s">
        <v>259</v>
      </c>
      <c r="I25" s="31">
        <f>+C74</f>
        <v>274050</v>
      </c>
      <c r="J25" s="31"/>
      <c r="K25" s="31"/>
    </row>
    <row r="26" spans="1:11" s="6" customFormat="1" ht="20.100000000000001" customHeight="1" x14ac:dyDescent="0.2">
      <c r="A26" s="549" t="s">
        <v>47</v>
      </c>
      <c r="B26" s="550"/>
      <c r="C26" s="551">
        <v>25478963254</v>
      </c>
      <c r="D26" s="551"/>
      <c r="E26" s="551">
        <v>32568457824</v>
      </c>
      <c r="F26" s="551"/>
      <c r="G26" s="34"/>
      <c r="H26" s="6" t="s">
        <v>260</v>
      </c>
      <c r="I26" s="31">
        <f>(+I91+J91)*-1</f>
        <v>-300000</v>
      </c>
      <c r="J26" s="31"/>
      <c r="K26" s="31"/>
    </row>
    <row r="27" spans="1:11" s="6" customFormat="1" ht="20.100000000000001" customHeight="1" x14ac:dyDescent="0.2">
      <c r="A27" s="549" t="s">
        <v>48</v>
      </c>
      <c r="B27" s="550"/>
      <c r="C27" s="551" t="s">
        <v>211</v>
      </c>
      <c r="D27" s="551"/>
      <c r="E27" s="551" t="s">
        <v>212</v>
      </c>
      <c r="F27" s="551"/>
      <c r="G27" s="34" t="s">
        <v>271</v>
      </c>
      <c r="H27" s="6" t="s">
        <v>267</v>
      </c>
      <c r="I27" s="121">
        <f>+F48</f>
        <v>100000</v>
      </c>
      <c r="J27" s="31"/>
      <c r="K27" s="31"/>
    </row>
    <row r="28" spans="1:11" s="6" customFormat="1" ht="20.100000000000001" customHeight="1" x14ac:dyDescent="0.2">
      <c r="A28" s="549" t="s">
        <v>51</v>
      </c>
      <c r="B28" s="550"/>
      <c r="C28" s="551" t="s">
        <v>52</v>
      </c>
      <c r="D28" s="551"/>
      <c r="E28" s="551" t="s">
        <v>52</v>
      </c>
      <c r="F28" s="551"/>
      <c r="G28" s="34" t="s">
        <v>270</v>
      </c>
      <c r="H28" s="6" t="s">
        <v>261</v>
      </c>
      <c r="I28" s="110">
        <f>C75-(C97+C98+C99)*0.12</f>
        <v>48000.000000000058</v>
      </c>
      <c r="J28" s="31"/>
      <c r="K28" s="31"/>
    </row>
    <row r="29" spans="1:11" s="6" customFormat="1" ht="20.100000000000001" customHeight="1" x14ac:dyDescent="0.25">
      <c r="A29" s="46" t="s">
        <v>228</v>
      </c>
      <c r="B29" s="46"/>
      <c r="C29" s="551"/>
      <c r="D29" s="551"/>
      <c r="E29" s="552" t="s">
        <v>182</v>
      </c>
      <c r="F29" s="552"/>
      <c r="H29" s="25" t="s">
        <v>273</v>
      </c>
      <c r="I29" s="112">
        <f>SUM(I21:I28)</f>
        <v>413750.00000000006</v>
      </c>
      <c r="J29" s="31"/>
      <c r="K29" s="31"/>
    </row>
    <row r="30" spans="1:11" s="6" customFormat="1" ht="20.100000000000001" customHeight="1" x14ac:dyDescent="0.2">
      <c r="A30" s="32" t="s">
        <v>55</v>
      </c>
      <c r="E30" s="29">
        <v>42643</v>
      </c>
      <c r="H30" s="6" t="s">
        <v>275</v>
      </c>
      <c r="I30" s="31">
        <f>+C76</f>
        <v>1800000</v>
      </c>
      <c r="J30" s="31"/>
      <c r="K30" s="31"/>
    </row>
    <row r="31" spans="1:11" s="6" customFormat="1" ht="20.100000000000001" customHeight="1" thickBot="1" x14ac:dyDescent="0.3">
      <c r="A31" s="32" t="s">
        <v>56</v>
      </c>
      <c r="E31" s="34" t="s">
        <v>57</v>
      </c>
      <c r="H31" s="6" t="s">
        <v>274</v>
      </c>
      <c r="I31" s="118">
        <f>I30+I29</f>
        <v>2213750</v>
      </c>
      <c r="J31" s="31"/>
      <c r="K31" s="31"/>
    </row>
    <row r="32" spans="1:11" s="6" customFormat="1" ht="20.100000000000001" customHeight="1" thickTop="1" x14ac:dyDescent="0.25">
      <c r="A32" s="25" t="s">
        <v>198</v>
      </c>
      <c r="D32" s="3"/>
      <c r="H32" s="25" t="s">
        <v>276</v>
      </c>
      <c r="I32" s="31"/>
      <c r="J32" s="31"/>
      <c r="K32" s="31"/>
    </row>
    <row r="33" spans="1:11" s="6" customFormat="1" ht="20.100000000000001" customHeight="1" x14ac:dyDescent="0.25">
      <c r="A33" s="65" t="s">
        <v>59</v>
      </c>
      <c r="B33" s="58"/>
      <c r="C33" s="58"/>
      <c r="D33" s="74"/>
      <c r="E33" s="58"/>
      <c r="F33" s="59"/>
      <c r="H33" s="6" t="s">
        <v>318</v>
      </c>
      <c r="I33" s="31">
        <f>300000*0.9</f>
        <v>270000</v>
      </c>
      <c r="J33" s="31"/>
      <c r="K33" s="31"/>
    </row>
    <row r="34" spans="1:11" s="6" customFormat="1" ht="30" customHeight="1" x14ac:dyDescent="0.2">
      <c r="A34" s="539" t="s">
        <v>291</v>
      </c>
      <c r="B34" s="540"/>
      <c r="C34" s="540"/>
      <c r="D34" s="540"/>
      <c r="E34" s="540"/>
      <c r="F34" s="548"/>
      <c r="H34" s="6" t="s">
        <v>317</v>
      </c>
      <c r="I34" s="31">
        <f>(I31-300000)*0.6</f>
        <v>1148250</v>
      </c>
      <c r="J34" s="31"/>
      <c r="K34" s="31"/>
    </row>
    <row r="35" spans="1:11" s="6" customFormat="1" ht="20.100000000000001" customHeight="1" thickBot="1" x14ac:dyDescent="0.3">
      <c r="A35" s="96" t="s">
        <v>191</v>
      </c>
      <c r="B35" s="75"/>
      <c r="C35" s="75"/>
      <c r="D35" s="75"/>
      <c r="E35" s="75"/>
      <c r="F35" s="70">
        <v>1200000</v>
      </c>
      <c r="H35" s="6" t="s">
        <v>277</v>
      </c>
      <c r="I35" s="118">
        <f>SUM(I33:I34)</f>
        <v>1418250</v>
      </c>
      <c r="J35" s="31"/>
      <c r="K35" s="31"/>
    </row>
    <row r="36" spans="1:11" s="6" customFormat="1" ht="20.100000000000001" customHeight="1" thickTop="1" x14ac:dyDescent="0.2">
      <c r="A36" s="96" t="s">
        <v>192</v>
      </c>
      <c r="B36" s="60"/>
      <c r="C36" s="60"/>
      <c r="D36" s="60"/>
      <c r="E36" s="27"/>
      <c r="F36" s="71">
        <f>ROUND(F35*0.05,0)</f>
        <v>60000</v>
      </c>
      <c r="G36" s="5"/>
      <c r="I36" s="31"/>
      <c r="J36" s="31"/>
      <c r="K36" s="31"/>
    </row>
    <row r="37" spans="1:11" s="6" customFormat="1" ht="20.100000000000001" customHeight="1" x14ac:dyDescent="0.25">
      <c r="A37" s="96" t="s">
        <v>63</v>
      </c>
      <c r="B37" s="60"/>
      <c r="C37" s="60"/>
      <c r="D37" s="60"/>
      <c r="E37" s="69"/>
      <c r="F37" s="71">
        <f>ROUND(F35*0.25,0)</f>
        <v>300000</v>
      </c>
      <c r="G37" s="34"/>
      <c r="H37" s="123" t="s">
        <v>280</v>
      </c>
      <c r="I37" s="122"/>
      <c r="J37" s="122"/>
      <c r="K37" s="112">
        <f>SUM(K3:K36)</f>
        <v>2564214</v>
      </c>
    </row>
    <row r="38" spans="1:11" s="6" customFormat="1" ht="20.100000000000001" customHeight="1" x14ac:dyDescent="0.2">
      <c r="A38" s="102" t="s">
        <v>296</v>
      </c>
      <c r="B38" s="63"/>
      <c r="C38" s="63"/>
      <c r="D38" s="63"/>
      <c r="E38" s="72"/>
      <c r="F38" s="131" t="s">
        <v>297</v>
      </c>
      <c r="G38" s="34"/>
      <c r="H38" s="6" t="s">
        <v>281</v>
      </c>
      <c r="I38" s="31"/>
      <c r="J38" s="31"/>
      <c r="K38" s="31">
        <f>+F48</f>
        <v>100000</v>
      </c>
    </row>
    <row r="39" spans="1:11" s="6" customFormat="1" ht="20.100000000000001" customHeight="1" x14ac:dyDescent="0.25">
      <c r="A39" s="65" t="s">
        <v>204</v>
      </c>
      <c r="B39" s="58"/>
      <c r="C39" s="58"/>
      <c r="D39" s="58"/>
      <c r="E39" s="66"/>
      <c r="F39" s="67"/>
      <c r="G39" s="34"/>
      <c r="H39" s="6" t="s">
        <v>284</v>
      </c>
      <c r="I39" s="31"/>
      <c r="J39" s="31"/>
      <c r="K39" s="31">
        <f>K37-K38</f>
        <v>2464214</v>
      </c>
    </row>
    <row r="40" spans="1:11" s="6" customFormat="1" ht="20.100000000000001" customHeight="1" x14ac:dyDescent="0.2">
      <c r="A40" s="96" t="s">
        <v>248</v>
      </c>
      <c r="B40" s="60"/>
      <c r="C40" s="60"/>
      <c r="D40" s="114">
        <v>42401</v>
      </c>
      <c r="E40" s="69"/>
      <c r="F40" s="70">
        <v>5000000</v>
      </c>
      <c r="G40" s="34"/>
      <c r="H40" s="44" t="s">
        <v>282</v>
      </c>
      <c r="I40" s="28">
        <v>0.3</v>
      </c>
      <c r="J40" s="31">
        <f>ROUND((K39-K14)*0.3,0)</f>
        <v>361050</v>
      </c>
      <c r="K40" s="31"/>
    </row>
    <row r="41" spans="1:11" s="6" customFormat="1" ht="20.100000000000001" customHeight="1" x14ac:dyDescent="0.2">
      <c r="A41" s="96" t="s">
        <v>69</v>
      </c>
      <c r="B41" s="60"/>
      <c r="C41" s="60"/>
      <c r="D41" s="60"/>
      <c r="E41" s="60"/>
      <c r="F41" s="71">
        <f>ROUND(F40*1.03,0)</f>
        <v>5150000</v>
      </c>
      <c r="G41" s="34"/>
      <c r="H41" s="44" t="s">
        <v>283</v>
      </c>
      <c r="I41" s="28">
        <v>0.2</v>
      </c>
      <c r="J41" s="110">
        <f>ROUND(K14*I41,0)</f>
        <v>252143</v>
      </c>
      <c r="K41" s="31"/>
    </row>
    <row r="42" spans="1:11" s="6" customFormat="1" ht="20.100000000000001" customHeight="1" x14ac:dyDescent="0.2">
      <c r="A42" s="96" t="s">
        <v>71</v>
      </c>
      <c r="B42" s="60"/>
      <c r="C42" s="60"/>
      <c r="D42" s="60"/>
      <c r="E42" s="27"/>
      <c r="F42" s="71">
        <f>ROUND(F40*0.01,0)</f>
        <v>50000</v>
      </c>
      <c r="G42" s="5"/>
      <c r="H42" s="44"/>
      <c r="I42" s="31"/>
      <c r="J42" s="31">
        <f>SUM(J40:J41)</f>
        <v>613193</v>
      </c>
      <c r="K42" s="31"/>
    </row>
    <row r="43" spans="1:11" s="6" customFormat="1" ht="20.100000000000001" customHeight="1" x14ac:dyDescent="0.2">
      <c r="A43" s="96" t="s">
        <v>249</v>
      </c>
      <c r="B43" s="60"/>
      <c r="C43" s="60"/>
      <c r="D43" s="68">
        <f>D40-10000</f>
        <v>32401</v>
      </c>
      <c r="E43" s="27"/>
      <c r="F43" s="71">
        <f>ROUND(F40/40,0)</f>
        <v>125000</v>
      </c>
      <c r="G43" s="5"/>
      <c r="H43" s="44" t="s">
        <v>285</v>
      </c>
      <c r="I43" s="28">
        <v>0.03</v>
      </c>
      <c r="J43" s="110">
        <f>ROUND(I43*J42,0)</f>
        <v>18396</v>
      </c>
    </row>
    <row r="44" spans="1:11" s="6" customFormat="1" ht="20.100000000000001" customHeight="1" x14ac:dyDescent="0.25">
      <c r="A44" s="102" t="s">
        <v>250</v>
      </c>
      <c r="B44" s="63"/>
      <c r="C44" s="63"/>
      <c r="D44" s="115">
        <f>D40+120</f>
        <v>42521</v>
      </c>
      <c r="E44" s="72"/>
      <c r="F44" s="73">
        <f>ROUND(F40*0.6,0)</f>
        <v>3000000</v>
      </c>
      <c r="G44" s="34"/>
      <c r="H44" s="6" t="s">
        <v>286</v>
      </c>
      <c r="I44" s="28"/>
      <c r="K44" s="125">
        <f>J42+J43</f>
        <v>631589</v>
      </c>
    </row>
    <row r="45" spans="1:11" s="6" customFormat="1" ht="20.100000000000001" customHeight="1" x14ac:dyDescent="0.25">
      <c r="A45" s="65" t="s">
        <v>79</v>
      </c>
      <c r="B45" s="58"/>
      <c r="C45" s="58"/>
      <c r="D45" s="60"/>
      <c r="E45" s="60"/>
      <c r="F45" s="67"/>
      <c r="H45" s="6" t="s">
        <v>287</v>
      </c>
      <c r="J45" s="31">
        <f>ROUND(J4*0.1,0)</f>
        <v>120000</v>
      </c>
      <c r="K45" s="31"/>
    </row>
    <row r="46" spans="1:11" s="6" customFormat="1" ht="20.25" customHeight="1" x14ac:dyDescent="0.2">
      <c r="A46" s="539" t="s">
        <v>347</v>
      </c>
      <c r="B46" s="540"/>
      <c r="C46" s="540"/>
      <c r="D46" s="540"/>
      <c r="E46" s="540"/>
      <c r="F46" s="70">
        <v>100000</v>
      </c>
      <c r="G46" s="34"/>
      <c r="H46" s="6" t="s">
        <v>288</v>
      </c>
      <c r="J46" s="110">
        <f>F50+F51</f>
        <v>66000</v>
      </c>
      <c r="K46" s="31">
        <f>J45+J46</f>
        <v>186000</v>
      </c>
    </row>
    <row r="47" spans="1:11" s="6" customFormat="1" ht="20.100000000000001" customHeight="1" x14ac:dyDescent="0.25">
      <c r="A47" s="102" t="s">
        <v>189</v>
      </c>
      <c r="B47" s="103"/>
      <c r="C47" s="103"/>
      <c r="D47" s="103"/>
      <c r="E47" s="105"/>
      <c r="F47" s="73">
        <f>ROUND(F46/10,0)</f>
        <v>10000</v>
      </c>
      <c r="G47" s="5"/>
      <c r="H47" s="123" t="s">
        <v>289</v>
      </c>
      <c r="I47" s="31"/>
      <c r="K47" s="124">
        <f>K44-K46</f>
        <v>445589</v>
      </c>
    </row>
    <row r="48" spans="1:11" s="6" customFormat="1" ht="20.100000000000001" customHeight="1" x14ac:dyDescent="0.2">
      <c r="A48" s="6" t="s">
        <v>193</v>
      </c>
      <c r="E48" s="5"/>
      <c r="F48" s="30">
        <v>100000</v>
      </c>
      <c r="G48" s="5"/>
    </row>
    <row r="49" spans="1:11" s="6" customFormat="1" ht="20.100000000000001" customHeight="1" x14ac:dyDescent="0.2">
      <c r="A49" s="6" t="s">
        <v>194</v>
      </c>
      <c r="F49" s="24"/>
      <c r="K49" s="31"/>
    </row>
    <row r="50" spans="1:11" s="6" customFormat="1" ht="20.100000000000001" customHeight="1" x14ac:dyDescent="0.2">
      <c r="A50" s="6" t="s">
        <v>195</v>
      </c>
      <c r="E50" s="5"/>
      <c r="F50" s="24">
        <f>ROUND(F54/400,0)</f>
        <v>30000</v>
      </c>
      <c r="G50" s="5"/>
      <c r="I50" s="31"/>
      <c r="J50" s="31"/>
      <c r="K50" s="31"/>
    </row>
    <row r="51" spans="1:11" s="6" customFormat="1" ht="20.100000000000001" customHeight="1" x14ac:dyDescent="0.2">
      <c r="A51" s="6" t="s">
        <v>196</v>
      </c>
      <c r="E51" s="5"/>
      <c r="F51" s="24">
        <f>ROUND(F50*1.2,0)</f>
        <v>36000</v>
      </c>
      <c r="G51" s="5"/>
      <c r="I51" s="31"/>
      <c r="J51" s="31"/>
      <c r="K51" s="31"/>
    </row>
    <row r="52" spans="1:11" s="6" customFormat="1" ht="18" customHeight="1" x14ac:dyDescent="0.2">
      <c r="A52" s="541" t="s">
        <v>200</v>
      </c>
      <c r="B52" s="542"/>
      <c r="C52" s="542"/>
      <c r="D52" s="542"/>
      <c r="E52" s="542"/>
      <c r="F52" s="543"/>
      <c r="I52" s="31"/>
      <c r="J52" s="31"/>
      <c r="K52" s="31"/>
    </row>
    <row r="53" spans="1:11" s="6" customFormat="1" ht="20.100000000000001" customHeight="1" x14ac:dyDescent="0.25">
      <c r="A53" s="544" t="s">
        <v>232</v>
      </c>
      <c r="B53" s="544"/>
      <c r="C53" s="544"/>
      <c r="D53" s="544"/>
      <c r="E53" s="544"/>
      <c r="F53" s="544"/>
      <c r="G53" s="25"/>
      <c r="H53" s="25"/>
      <c r="I53" s="112"/>
      <c r="J53" s="31"/>
      <c r="K53" s="31"/>
    </row>
    <row r="54" spans="1:11" s="6" customFormat="1" ht="20.100000000000001" customHeight="1" x14ac:dyDescent="0.2">
      <c r="A54" s="47" t="s">
        <v>202</v>
      </c>
      <c r="B54" s="48"/>
      <c r="C54" s="51">
        <f>ROUND(F57*1.1,0)</f>
        <v>1346400</v>
      </c>
      <c r="D54" s="50" t="s">
        <v>199</v>
      </c>
      <c r="E54" s="49"/>
      <c r="F54" s="53">
        <v>12000000</v>
      </c>
      <c r="G54" s="34"/>
      <c r="I54" s="31"/>
      <c r="J54" s="31"/>
      <c r="K54" s="31"/>
    </row>
    <row r="55" spans="1:11" s="6" customFormat="1" ht="20.100000000000001" customHeight="1" x14ac:dyDescent="0.2">
      <c r="A55" s="47" t="s">
        <v>203</v>
      </c>
      <c r="B55" s="48"/>
      <c r="C55" s="51">
        <f>ROUND(F54*0.525,0)</f>
        <v>6300000</v>
      </c>
      <c r="D55" s="50" t="s">
        <v>233</v>
      </c>
      <c r="E55" s="49"/>
      <c r="F55" s="51">
        <f>ROUND(F54*0.01,0)</f>
        <v>120000</v>
      </c>
      <c r="G55" s="34"/>
      <c r="I55" s="31"/>
      <c r="J55" s="31"/>
      <c r="K55" s="31"/>
    </row>
    <row r="56" spans="1:11" s="6" customFormat="1" ht="20.100000000000001" customHeight="1" x14ac:dyDescent="0.2">
      <c r="A56" s="47" t="s">
        <v>98</v>
      </c>
      <c r="B56" s="48"/>
      <c r="C56" s="51">
        <f>ROUND(C55/100,0)+5000</f>
        <v>68000</v>
      </c>
      <c r="D56" s="50" t="s">
        <v>201</v>
      </c>
      <c r="E56" s="85"/>
      <c r="F56" s="51">
        <f>ROUND(F55*1.15,0)</f>
        <v>138000</v>
      </c>
      <c r="G56" s="34"/>
      <c r="I56" s="31">
        <f>SUM(C54:C74)+C77-C74</f>
        <v>10860250</v>
      </c>
      <c r="J56" s="31"/>
      <c r="K56" s="31"/>
    </row>
    <row r="57" spans="1:11" s="6" customFormat="1" ht="20.100000000000001" customHeight="1" x14ac:dyDescent="0.2">
      <c r="A57" s="47" t="s">
        <v>214</v>
      </c>
      <c r="B57" s="48"/>
      <c r="C57" s="51">
        <f>ROUND(C56*1.1,0)</f>
        <v>74800</v>
      </c>
      <c r="D57" s="50" t="s">
        <v>164</v>
      </c>
      <c r="E57" s="85"/>
      <c r="F57" s="51">
        <f>ROUND(F54/10+F55/5,0)</f>
        <v>1224000</v>
      </c>
      <c r="G57" s="34"/>
      <c r="I57" s="31"/>
      <c r="J57" s="31"/>
      <c r="K57" s="31"/>
    </row>
    <row r="58" spans="1:11" s="6" customFormat="1" ht="20.100000000000001" customHeight="1" x14ac:dyDescent="0.2">
      <c r="A58" s="47" t="s">
        <v>102</v>
      </c>
      <c r="B58" s="48"/>
      <c r="C58" s="51">
        <f>ROUND(F56/4,0)</f>
        <v>34500</v>
      </c>
      <c r="D58" s="84"/>
      <c r="E58" s="69"/>
      <c r="F58" s="86"/>
      <c r="G58" s="34"/>
      <c r="I58" s="31"/>
      <c r="J58" s="31"/>
      <c r="K58" s="31"/>
    </row>
    <row r="59" spans="1:11" s="6" customFormat="1" ht="20.100000000000001" customHeight="1" x14ac:dyDescent="0.2">
      <c r="A59" s="47" t="s">
        <v>103</v>
      </c>
      <c r="B59" s="48"/>
      <c r="C59" s="52">
        <f>ROUND(C58/5,0)</f>
        <v>6900</v>
      </c>
      <c r="D59" s="84"/>
      <c r="E59" s="27"/>
      <c r="F59" s="86"/>
      <c r="G59" s="5"/>
      <c r="I59" s="31"/>
      <c r="J59" s="31"/>
      <c r="K59" s="31"/>
    </row>
    <row r="60" spans="1:11" s="6" customFormat="1" ht="20.100000000000001" customHeight="1" x14ac:dyDescent="0.2">
      <c r="A60" s="47" t="s">
        <v>205</v>
      </c>
      <c r="B60" s="48"/>
      <c r="C60" s="51">
        <f>C58+C59</f>
        <v>41400</v>
      </c>
      <c r="D60" s="60"/>
      <c r="E60" s="27"/>
      <c r="F60" s="86"/>
      <c r="G60" s="5"/>
      <c r="I60" s="31"/>
      <c r="J60" s="31"/>
      <c r="K60" s="31"/>
    </row>
    <row r="61" spans="1:11" s="6" customFormat="1" ht="20.100000000000001" customHeight="1" x14ac:dyDescent="0.2">
      <c r="A61" s="47" t="s">
        <v>206</v>
      </c>
      <c r="B61" s="48"/>
      <c r="C61" s="51">
        <f>ROUND(+C58*1.1,0)</f>
        <v>37950</v>
      </c>
      <c r="D61" s="60"/>
      <c r="E61" s="27"/>
      <c r="F61" s="86"/>
      <c r="G61" s="5"/>
      <c r="I61" s="31"/>
      <c r="J61" s="31"/>
      <c r="K61" s="31"/>
    </row>
    <row r="62" spans="1:11" s="6" customFormat="1" ht="20.100000000000001" customHeight="1" x14ac:dyDescent="0.2">
      <c r="A62" s="47" t="s">
        <v>207</v>
      </c>
      <c r="B62" s="48"/>
      <c r="C62" s="51">
        <f>ROUND(+F55/2,0)</f>
        <v>60000</v>
      </c>
      <c r="D62" s="60"/>
      <c r="E62" s="27"/>
      <c r="F62" s="86"/>
      <c r="G62" s="5"/>
      <c r="I62" s="31"/>
      <c r="J62" s="31"/>
      <c r="K62" s="31"/>
    </row>
    <row r="63" spans="1:11" s="6" customFormat="1" ht="20.100000000000001" customHeight="1" x14ac:dyDescent="0.2">
      <c r="A63" s="47" t="s">
        <v>107</v>
      </c>
      <c r="B63" s="48"/>
      <c r="C63" s="51">
        <f>ROUND(F54*0.15,0)</f>
        <v>1800000</v>
      </c>
      <c r="D63" s="60"/>
      <c r="E63" s="69"/>
      <c r="F63" s="86"/>
      <c r="G63" s="34"/>
      <c r="I63" s="31"/>
      <c r="J63" s="31"/>
      <c r="K63" s="31"/>
    </row>
    <row r="64" spans="1:11" s="6" customFormat="1" ht="20.100000000000001" customHeight="1" x14ac:dyDescent="0.2">
      <c r="A64" s="47" t="s">
        <v>109</v>
      </c>
      <c r="B64" s="48"/>
      <c r="C64" s="51">
        <f>ROUND(+C59+2000,0)</f>
        <v>8900</v>
      </c>
      <c r="D64" s="60"/>
      <c r="E64" s="27"/>
      <c r="F64" s="86"/>
      <c r="G64" s="5"/>
      <c r="I64" s="31"/>
      <c r="J64" s="31"/>
      <c r="K64" s="31"/>
    </row>
    <row r="65" spans="1:11" s="6" customFormat="1" ht="20.100000000000001" customHeight="1" x14ac:dyDescent="0.2">
      <c r="A65" s="47" t="s">
        <v>110</v>
      </c>
      <c r="B65" s="48"/>
      <c r="C65" s="51">
        <f>+C62+C60</f>
        <v>101400</v>
      </c>
      <c r="D65" s="60"/>
      <c r="E65" s="27"/>
      <c r="F65" s="86"/>
      <c r="G65" s="5"/>
      <c r="I65" s="31"/>
      <c r="J65" s="31"/>
      <c r="K65" s="31"/>
    </row>
    <row r="66" spans="1:11" s="6" customFormat="1" ht="20.100000000000001" customHeight="1" x14ac:dyDescent="0.2">
      <c r="A66" s="47" t="s">
        <v>111</v>
      </c>
      <c r="B66" s="48"/>
      <c r="C66" s="51">
        <f>ROUND(F54/125,0)</f>
        <v>96000</v>
      </c>
      <c r="D66" s="60"/>
      <c r="E66" s="27"/>
      <c r="F66" s="86"/>
      <c r="G66" s="5"/>
      <c r="I66" s="31"/>
      <c r="J66" s="31"/>
      <c r="K66" s="31"/>
    </row>
    <row r="67" spans="1:11" s="6" customFormat="1" ht="20.100000000000001" customHeight="1" x14ac:dyDescent="0.2">
      <c r="A67" s="47" t="s">
        <v>208</v>
      </c>
      <c r="B67" s="48"/>
      <c r="C67" s="51">
        <f>ROUND(C66*2.25,0)</f>
        <v>216000</v>
      </c>
      <c r="D67" s="60"/>
      <c r="E67" s="69"/>
      <c r="F67" s="86"/>
      <c r="G67" s="34"/>
      <c r="I67" s="31"/>
      <c r="J67" s="31"/>
      <c r="K67" s="31"/>
    </row>
    <row r="68" spans="1:11" s="6" customFormat="1" ht="20.100000000000001" customHeight="1" x14ac:dyDescent="0.2">
      <c r="A68" s="47" t="s">
        <v>114</v>
      </c>
      <c r="B68" s="48"/>
      <c r="C68" s="51">
        <f>ROUND(+C62/2,0)</f>
        <v>30000</v>
      </c>
      <c r="D68" s="60"/>
      <c r="E68" s="27"/>
      <c r="F68" s="86"/>
      <c r="G68" s="5"/>
      <c r="I68" s="31"/>
      <c r="J68" s="31"/>
      <c r="K68" s="31"/>
    </row>
    <row r="69" spans="1:11" s="6" customFormat="1" ht="20.100000000000001" customHeight="1" x14ac:dyDescent="0.2">
      <c r="A69" s="47" t="s">
        <v>209</v>
      </c>
      <c r="B69" s="48"/>
      <c r="C69" s="51">
        <f>C68+C66</f>
        <v>126000</v>
      </c>
      <c r="D69" s="60"/>
      <c r="E69" s="27"/>
      <c r="F69" s="86"/>
      <c r="G69" s="5"/>
      <c r="I69" s="31"/>
      <c r="J69" s="31"/>
      <c r="K69" s="31"/>
    </row>
    <row r="70" spans="1:11" s="6" customFormat="1" ht="20.100000000000001" customHeight="1" x14ac:dyDescent="0.2">
      <c r="A70" s="47" t="s">
        <v>116</v>
      </c>
      <c r="B70" s="48"/>
      <c r="C70" s="51">
        <f>ROUND(F55*0.4,0)</f>
        <v>48000</v>
      </c>
      <c r="D70" s="60"/>
      <c r="E70" s="69"/>
      <c r="F70" s="86"/>
      <c r="G70" s="34"/>
      <c r="I70" s="31"/>
      <c r="J70" s="31"/>
      <c r="K70" s="31"/>
    </row>
    <row r="71" spans="1:11" s="6" customFormat="1" ht="20.100000000000001" customHeight="1" x14ac:dyDescent="0.2">
      <c r="A71" s="47" t="s">
        <v>118</v>
      </c>
      <c r="B71" s="48"/>
      <c r="C71" s="51">
        <f>ROUND(C63*0.015,0)</f>
        <v>27000</v>
      </c>
      <c r="D71" s="60"/>
      <c r="E71" s="27"/>
      <c r="F71" s="86"/>
      <c r="G71" s="5"/>
      <c r="I71" s="31"/>
      <c r="J71" s="31"/>
      <c r="K71" s="31"/>
    </row>
    <row r="72" spans="1:11" s="6" customFormat="1" ht="20.100000000000001" customHeight="1" x14ac:dyDescent="0.2">
      <c r="A72" s="47" t="s">
        <v>119</v>
      </c>
      <c r="B72" s="48"/>
      <c r="C72" s="51">
        <f>ROUND(F54*0.016,0)</f>
        <v>192000</v>
      </c>
      <c r="D72" s="60"/>
      <c r="E72" s="69"/>
      <c r="F72" s="86"/>
      <c r="G72" s="34"/>
      <c r="I72" s="31"/>
      <c r="J72" s="31"/>
      <c r="K72" s="31"/>
    </row>
    <row r="73" spans="1:11" s="6" customFormat="1" ht="20.100000000000001" customHeight="1" x14ac:dyDescent="0.2">
      <c r="A73" s="47" t="s">
        <v>122</v>
      </c>
      <c r="B73" s="48"/>
      <c r="C73" s="51">
        <f>ROUND(F54*0.0015,0)</f>
        <v>18000</v>
      </c>
      <c r="D73" s="60"/>
      <c r="E73" s="27"/>
      <c r="F73" s="86"/>
      <c r="G73" s="5"/>
      <c r="I73" s="31"/>
      <c r="J73" s="31"/>
      <c r="K73" s="31"/>
    </row>
    <row r="74" spans="1:11" s="6" customFormat="1" ht="20.100000000000001" customHeight="1" x14ac:dyDescent="0.2">
      <c r="A74" s="47" t="s">
        <v>123</v>
      </c>
      <c r="B74" s="48"/>
      <c r="C74" s="51">
        <f>ROUND(E92*0.18+F92*0.25,0)</f>
        <v>274050</v>
      </c>
      <c r="D74" s="60"/>
      <c r="E74" s="69"/>
      <c r="F74" s="86"/>
      <c r="G74" s="34"/>
      <c r="I74" s="31"/>
      <c r="J74" s="31"/>
      <c r="K74" s="31"/>
    </row>
    <row r="75" spans="1:11" s="6" customFormat="1" ht="20.100000000000001" customHeight="1" x14ac:dyDescent="0.2">
      <c r="A75" s="47" t="s">
        <v>215</v>
      </c>
      <c r="B75" s="48"/>
      <c r="C75" s="51">
        <f>(C97+C98+C99)*0.14</f>
        <v>336000.00000000006</v>
      </c>
      <c r="D75" s="60"/>
      <c r="E75" s="69"/>
      <c r="F75" s="86"/>
      <c r="G75" s="34"/>
      <c r="I75" s="31"/>
      <c r="J75" s="31"/>
      <c r="K75" s="31"/>
    </row>
    <row r="76" spans="1:11" s="6" customFormat="1" ht="25.5" customHeight="1" x14ac:dyDescent="0.2">
      <c r="A76" s="545" t="s">
        <v>216</v>
      </c>
      <c r="B76" s="546"/>
      <c r="C76" s="53">
        <f>50000*12*3</f>
        <v>1800000</v>
      </c>
      <c r="D76" s="60"/>
      <c r="E76" s="69"/>
      <c r="F76" s="86"/>
      <c r="G76" s="34"/>
      <c r="I76" s="31"/>
      <c r="J76" s="31"/>
      <c r="K76" s="31"/>
    </row>
    <row r="77" spans="1:11" s="6" customFormat="1" ht="20.100000000000001" customHeight="1" x14ac:dyDescent="0.2">
      <c r="A77" s="47" t="s">
        <v>125</v>
      </c>
      <c r="B77" s="48"/>
      <c r="C77" s="51">
        <f>F81+F84+F48+25000</f>
        <v>227000</v>
      </c>
      <c r="D77" s="60"/>
      <c r="E77" s="69"/>
      <c r="F77" s="86"/>
      <c r="G77" s="34"/>
      <c r="I77" s="31"/>
      <c r="J77" s="31"/>
      <c r="K77" s="31"/>
    </row>
    <row r="78" spans="1:11" s="6" customFormat="1" ht="20.100000000000001" customHeight="1" x14ac:dyDescent="0.2">
      <c r="A78" s="54" t="s">
        <v>126</v>
      </c>
      <c r="B78" s="55"/>
      <c r="C78" s="56">
        <f>F79-SUM(C54:C77)</f>
        <v>211700</v>
      </c>
      <c r="D78" s="60"/>
      <c r="E78" s="133" t="s">
        <v>298</v>
      </c>
      <c r="F78" s="87"/>
      <c r="G78" s="27"/>
      <c r="I78" s="31"/>
      <c r="J78" s="31"/>
      <c r="K78" s="31"/>
    </row>
    <row r="79" spans="1:11" s="6" customFormat="1" ht="20.100000000000001" customHeight="1" thickBot="1" x14ac:dyDescent="0.3">
      <c r="A79" s="88"/>
      <c r="B79" s="57"/>
      <c r="C79" s="81">
        <f>+F79</f>
        <v>13482000</v>
      </c>
      <c r="D79" s="57"/>
      <c r="E79" s="132"/>
      <c r="F79" s="81">
        <f>SUM(F54:F70)</f>
        <v>13482000</v>
      </c>
      <c r="G79" s="27"/>
      <c r="I79" s="31"/>
      <c r="J79" s="31"/>
      <c r="K79" s="31"/>
    </row>
    <row r="80" spans="1:11" s="6" customFormat="1" ht="26.25" customHeight="1" thickTop="1" x14ac:dyDescent="0.25">
      <c r="A80" s="25" t="s">
        <v>134</v>
      </c>
      <c r="I80" s="31"/>
      <c r="J80" s="31"/>
      <c r="K80" s="31"/>
    </row>
    <row r="81" spans="1:11" s="6" customFormat="1" ht="20.100000000000001" customHeight="1" x14ac:dyDescent="0.2">
      <c r="A81" s="32" t="s">
        <v>333</v>
      </c>
      <c r="B81" s="32"/>
      <c r="C81" s="32"/>
      <c r="D81" s="32"/>
      <c r="E81" s="32"/>
      <c r="F81" s="31">
        <f>ROUND(+C73*2,0)</f>
        <v>36000</v>
      </c>
      <c r="I81" s="31"/>
      <c r="J81" s="31"/>
      <c r="K81" s="31"/>
    </row>
    <row r="82" spans="1:11" s="6" customFormat="1" ht="20.100000000000001" customHeight="1" x14ac:dyDescent="0.2">
      <c r="A82" s="32" t="s">
        <v>268</v>
      </c>
      <c r="B82" s="32"/>
      <c r="C82" s="32"/>
      <c r="D82" s="32"/>
      <c r="E82" s="120">
        <f>+D40</f>
        <v>42401</v>
      </c>
      <c r="F82" s="31">
        <f>F55/10</f>
        <v>12000</v>
      </c>
      <c r="I82" s="31"/>
      <c r="J82" s="31"/>
      <c r="K82" s="31"/>
    </row>
    <row r="83" spans="1:11" s="6" customFormat="1" ht="20.100000000000001" customHeight="1" x14ac:dyDescent="0.2">
      <c r="A83" s="32" t="s">
        <v>210</v>
      </c>
      <c r="B83" s="32"/>
      <c r="C83" s="32"/>
      <c r="D83" s="32"/>
      <c r="E83" s="32"/>
      <c r="F83" s="31">
        <f>+C60</f>
        <v>41400</v>
      </c>
      <c r="I83" s="31"/>
      <c r="J83" s="31"/>
      <c r="K83" s="31"/>
    </row>
    <row r="84" spans="1:11" s="6" customFormat="1" ht="20.100000000000001" customHeight="1" x14ac:dyDescent="0.2">
      <c r="A84" s="32" t="s">
        <v>144</v>
      </c>
      <c r="B84" s="32"/>
      <c r="C84" s="32"/>
      <c r="D84" s="32"/>
      <c r="E84" s="32"/>
      <c r="F84" s="31">
        <f>+F50+F51</f>
        <v>66000</v>
      </c>
      <c r="I84" s="31"/>
      <c r="J84" s="31"/>
      <c r="K84" s="31"/>
    </row>
    <row r="85" spans="1:11" s="6" customFormat="1" ht="30.75" customHeight="1" x14ac:dyDescent="0.2">
      <c r="A85" s="547" t="s">
        <v>344</v>
      </c>
      <c r="B85" s="547"/>
      <c r="C85" s="547"/>
      <c r="D85" s="547"/>
      <c r="E85" s="547"/>
      <c r="F85" s="33">
        <v>10000</v>
      </c>
      <c r="I85" s="5"/>
      <c r="J85" s="5"/>
      <c r="K85" s="31"/>
    </row>
    <row r="86" spans="1:11" s="6" customFormat="1" ht="20.100000000000001" customHeight="1" x14ac:dyDescent="0.2">
      <c r="A86" s="32" t="s">
        <v>217</v>
      </c>
      <c r="B86" s="32"/>
      <c r="C86" s="32"/>
      <c r="D86" s="32"/>
      <c r="E86" s="32"/>
      <c r="I86" s="28">
        <v>0.15</v>
      </c>
      <c r="J86" s="28">
        <v>0.6</v>
      </c>
      <c r="K86" s="31"/>
    </row>
    <row r="87" spans="1:11" s="6" customFormat="1" ht="22.5" customHeight="1" x14ac:dyDescent="0.2">
      <c r="A87" s="39"/>
      <c r="B87" s="40"/>
      <c r="C87" s="40"/>
      <c r="D87" s="41"/>
      <c r="E87" s="108" t="s">
        <v>229</v>
      </c>
      <c r="F87" s="109" t="s">
        <v>218</v>
      </c>
      <c r="G87" s="34"/>
      <c r="I87" s="5" t="s">
        <v>262</v>
      </c>
      <c r="J87" s="5" t="s">
        <v>263</v>
      </c>
      <c r="K87" s="31"/>
    </row>
    <row r="88" spans="1:11" s="6" customFormat="1" ht="20.100000000000001" customHeight="1" x14ac:dyDescent="0.2">
      <c r="A88" s="42" t="s">
        <v>219</v>
      </c>
      <c r="B88" s="40"/>
      <c r="C88" s="41"/>
      <c r="D88" s="76">
        <v>42095</v>
      </c>
      <c r="E88" s="77">
        <v>1000000</v>
      </c>
      <c r="F88" s="78">
        <f>ROUND(E88*0.15,0)</f>
        <v>150000</v>
      </c>
      <c r="G88" s="34"/>
      <c r="H88" s="6" t="s">
        <v>264</v>
      </c>
      <c r="I88" s="31">
        <f>(E88+E89-E91)*I86</f>
        <v>171000</v>
      </c>
      <c r="J88" s="31">
        <f>(F88+F89-F91)*J86</f>
        <v>102600</v>
      </c>
      <c r="K88" s="31"/>
    </row>
    <row r="89" spans="1:11" s="6" customFormat="1" ht="20.100000000000001" customHeight="1" x14ac:dyDescent="0.2">
      <c r="A89" s="42" t="s">
        <v>220</v>
      </c>
      <c r="B89" s="40"/>
      <c r="C89" s="41"/>
      <c r="D89" s="79">
        <v>42125</v>
      </c>
      <c r="E89" s="52">
        <f>ROUND(E88*0.2,0)</f>
        <v>200000</v>
      </c>
      <c r="F89" s="52">
        <f>ROUND(F88*0.2,0)</f>
        <v>30000</v>
      </c>
      <c r="G89" s="34"/>
      <c r="H89" s="6" t="s">
        <v>265</v>
      </c>
      <c r="I89" s="31">
        <f>E90*I86/2</f>
        <v>9000</v>
      </c>
      <c r="J89" s="31">
        <f>F90*J86/2</f>
        <v>5400</v>
      </c>
      <c r="K89" s="31"/>
    </row>
    <row r="90" spans="1:11" s="6" customFormat="1" ht="20.100000000000001" customHeight="1" x14ac:dyDescent="0.2">
      <c r="A90" s="42" t="s">
        <v>220</v>
      </c>
      <c r="B90" s="40"/>
      <c r="C90" s="41"/>
      <c r="D90" s="76">
        <f>D89+175</f>
        <v>42300</v>
      </c>
      <c r="E90" s="52">
        <f>ROUND(E89*0.6,0)</f>
        <v>120000</v>
      </c>
      <c r="F90" s="52">
        <f>ROUND(F89*0.6,0)</f>
        <v>18000</v>
      </c>
      <c r="G90" s="34"/>
      <c r="H90" s="6" t="s">
        <v>266</v>
      </c>
      <c r="I90" s="31">
        <f>E90*0.2/2</f>
        <v>12000</v>
      </c>
      <c r="J90" s="31"/>
      <c r="K90" s="31"/>
    </row>
    <row r="91" spans="1:11" s="6" customFormat="1" ht="20.100000000000001" customHeight="1" thickBot="1" x14ac:dyDescent="0.3">
      <c r="A91" s="42" t="s">
        <v>221</v>
      </c>
      <c r="B91" s="40"/>
      <c r="C91" s="41"/>
      <c r="D91" s="76">
        <f>D89+30</f>
        <v>42155</v>
      </c>
      <c r="E91" s="52">
        <f>ROUND(E89*0.3,0)</f>
        <v>60000</v>
      </c>
      <c r="F91" s="52">
        <f>ROUND(F89*0.3,0)</f>
        <v>9000</v>
      </c>
      <c r="G91" s="34"/>
      <c r="I91" s="118">
        <f>SUM(I88:I90)</f>
        <v>192000</v>
      </c>
      <c r="J91" s="118">
        <f>SUM(J88:J90)</f>
        <v>108000</v>
      </c>
      <c r="K91" s="31"/>
    </row>
    <row r="92" spans="1:11" s="6" customFormat="1" ht="20.100000000000001" customHeight="1" thickTop="1" x14ac:dyDescent="0.2">
      <c r="A92" s="42" t="s">
        <v>222</v>
      </c>
      <c r="B92" s="40"/>
      <c r="C92" s="41"/>
      <c r="D92" s="76">
        <v>42460</v>
      </c>
      <c r="E92" s="51">
        <f>E88+E89+E90-E91</f>
        <v>1260000</v>
      </c>
      <c r="F92" s="51">
        <f>F88+F89+F90-F91</f>
        <v>189000</v>
      </c>
      <c r="G92" s="34"/>
      <c r="I92" s="31"/>
      <c r="J92" s="31"/>
      <c r="K92" s="31"/>
    </row>
    <row r="93" spans="1:11" s="6" customFormat="1" ht="33" customHeight="1" x14ac:dyDescent="0.2">
      <c r="A93" s="547" t="s">
        <v>223</v>
      </c>
      <c r="B93" s="547"/>
      <c r="C93" s="547"/>
      <c r="D93" s="547"/>
      <c r="E93" s="547"/>
      <c r="F93" s="547"/>
      <c r="I93" s="31"/>
      <c r="J93" s="31"/>
      <c r="K93" s="31"/>
    </row>
    <row r="94" spans="1:11" s="6" customFormat="1" ht="18.75" customHeight="1" x14ac:dyDescent="0.2">
      <c r="A94" s="128"/>
      <c r="B94" s="128"/>
      <c r="C94" s="128"/>
      <c r="D94" s="128"/>
      <c r="E94" s="128"/>
      <c r="F94" s="128"/>
      <c r="I94" s="31"/>
      <c r="J94" s="31"/>
      <c r="K94" s="31"/>
    </row>
    <row r="95" spans="1:11" s="6" customFormat="1" ht="18" customHeight="1" x14ac:dyDescent="0.2">
      <c r="A95" s="538" t="s">
        <v>230</v>
      </c>
      <c r="B95" s="538"/>
      <c r="C95" s="538"/>
      <c r="D95" s="538"/>
      <c r="E95" s="538"/>
      <c r="F95" s="538"/>
      <c r="I95" s="31"/>
      <c r="J95" s="31"/>
      <c r="K95" s="31"/>
    </row>
    <row r="96" spans="1:11" s="6" customFormat="1" ht="20.100000000000001" customHeight="1" x14ac:dyDescent="0.2">
      <c r="A96" s="42" t="s">
        <v>160</v>
      </c>
      <c r="B96" s="41"/>
      <c r="C96" s="51"/>
      <c r="D96" s="42" t="s">
        <v>164</v>
      </c>
      <c r="E96" s="41"/>
      <c r="F96" s="51">
        <f>+F57</f>
        <v>1224000</v>
      </c>
      <c r="I96" s="31"/>
      <c r="J96" s="31"/>
      <c r="K96" s="31"/>
    </row>
    <row r="97" spans="1:11" s="6" customFormat="1" ht="20.100000000000001" customHeight="1" x14ac:dyDescent="0.2">
      <c r="A97" s="89" t="str">
        <f>+D17</f>
        <v xml:space="preserve">Mohd Sajid </v>
      </c>
      <c r="B97" s="60"/>
      <c r="C97" s="53">
        <v>1200000</v>
      </c>
      <c r="D97" s="42" t="s">
        <v>166</v>
      </c>
      <c r="E97" s="41"/>
      <c r="F97" s="51">
        <f>ROUND((C97+C98+C99)*1.75,0)</f>
        <v>4200000</v>
      </c>
      <c r="G97" s="34"/>
      <c r="I97" s="31"/>
      <c r="J97" s="31"/>
      <c r="K97" s="31"/>
    </row>
    <row r="98" spans="1:11" s="6" customFormat="1" ht="20.100000000000001" customHeight="1" x14ac:dyDescent="0.2">
      <c r="A98" s="89" t="str">
        <f>+E17</f>
        <v>Gurmeet Singh</v>
      </c>
      <c r="B98" s="60"/>
      <c r="C98" s="80">
        <f>C97/D19*E19</f>
        <v>600000</v>
      </c>
      <c r="D98" s="42" t="s">
        <v>168</v>
      </c>
      <c r="E98" s="41"/>
      <c r="F98" s="51">
        <f>E92+F92</f>
        <v>1449000</v>
      </c>
      <c r="G98" s="34"/>
      <c r="I98" s="31"/>
      <c r="J98" s="31"/>
      <c r="K98" s="31"/>
    </row>
    <row r="99" spans="1:11" s="6" customFormat="1" ht="20.100000000000001" customHeight="1" x14ac:dyDescent="0.2">
      <c r="A99" s="89" t="str">
        <f>+F17</f>
        <v>Varun Panwar</v>
      </c>
      <c r="B99" s="60"/>
      <c r="C99" s="80">
        <f>C97/D19*F19</f>
        <v>600000</v>
      </c>
      <c r="D99" s="42" t="s">
        <v>170</v>
      </c>
      <c r="E99" s="41"/>
      <c r="F99" s="51">
        <f>C97+C98</f>
        <v>1800000</v>
      </c>
      <c r="G99" s="34"/>
      <c r="I99" s="31"/>
      <c r="J99" s="31"/>
      <c r="K99" s="31"/>
    </row>
    <row r="100" spans="1:11" s="6" customFormat="1" ht="20.100000000000001" customHeight="1" x14ac:dyDescent="0.2">
      <c r="A100" s="42" t="s">
        <v>176</v>
      </c>
      <c r="B100" s="41"/>
      <c r="C100" s="51">
        <f>C102-C97-C98-C99</f>
        <v>12130675</v>
      </c>
      <c r="D100" s="42" t="s">
        <v>172</v>
      </c>
      <c r="E100" s="41"/>
      <c r="F100" s="51">
        <f>F97+F96+25000</f>
        <v>5449000</v>
      </c>
      <c r="G100" s="5"/>
      <c r="I100" s="31"/>
      <c r="J100" s="31"/>
      <c r="K100" s="31"/>
    </row>
    <row r="101" spans="1:11" s="6" customFormat="1" ht="20.100000000000001" customHeight="1" x14ac:dyDescent="0.2">
      <c r="A101" s="62"/>
      <c r="B101" s="63"/>
      <c r="C101" s="51"/>
      <c r="D101" s="42" t="s">
        <v>174</v>
      </c>
      <c r="E101" s="41"/>
      <c r="F101" s="51">
        <f>ROUND(F100*0.075,0)</f>
        <v>408675</v>
      </c>
      <c r="I101" s="31"/>
      <c r="J101" s="31"/>
      <c r="K101" s="31"/>
    </row>
    <row r="102" spans="1:11" s="6" customFormat="1" ht="20.100000000000001" customHeight="1" thickBot="1" x14ac:dyDescent="0.3">
      <c r="A102" s="88"/>
      <c r="B102" s="57"/>
      <c r="C102" s="81">
        <f>+F102</f>
        <v>14530675</v>
      </c>
      <c r="D102" s="82"/>
      <c r="E102" s="83"/>
      <c r="F102" s="81">
        <f>SUM(F96:F101)</f>
        <v>14530675</v>
      </c>
      <c r="G102" s="5"/>
      <c r="I102" s="31"/>
      <c r="J102" s="31"/>
      <c r="K102" s="31"/>
    </row>
    <row r="103" spans="1:11" s="6" customFormat="1" ht="20.100000000000001" customHeight="1" thickTop="1" x14ac:dyDescent="0.2">
      <c r="I103" s="31"/>
      <c r="J103" s="31"/>
      <c r="K103" s="31"/>
    </row>
    <row r="104" spans="1:11" s="6" customFormat="1" ht="20.100000000000001" customHeight="1" x14ac:dyDescent="0.2">
      <c r="A104" s="32" t="s">
        <v>299</v>
      </c>
      <c r="I104" s="31"/>
      <c r="J104" s="31"/>
      <c r="K104" s="31"/>
    </row>
    <row r="105" spans="1:11" s="6" customFormat="1" ht="20.100000000000001" customHeight="1" x14ac:dyDescent="0.2">
      <c r="A105" s="32" t="s">
        <v>300</v>
      </c>
      <c r="I105" s="31"/>
      <c r="J105" s="31"/>
      <c r="K105" s="31"/>
    </row>
    <row r="106" spans="1:11" s="6" customFormat="1" ht="20.100000000000001" customHeight="1" x14ac:dyDescent="0.2">
      <c r="I106" s="31"/>
      <c r="J106" s="31"/>
      <c r="K106" s="31"/>
    </row>
    <row r="107" spans="1:11" s="6" customFormat="1" ht="20.100000000000001" customHeight="1" x14ac:dyDescent="0.2">
      <c r="I107" s="31"/>
      <c r="J107" s="31"/>
      <c r="K107" s="31"/>
    </row>
    <row r="108" spans="1:11" s="6" customFormat="1" ht="20.100000000000001" customHeight="1" x14ac:dyDescent="0.2">
      <c r="I108" s="31"/>
      <c r="J108" s="31"/>
      <c r="K108" s="31"/>
    </row>
    <row r="109" spans="1:11" s="6" customFormat="1" ht="20.100000000000001" customHeight="1" x14ac:dyDescent="0.2">
      <c r="I109" s="31"/>
      <c r="J109" s="31"/>
      <c r="K109" s="31"/>
    </row>
    <row r="110" spans="1:11" s="6" customFormat="1" ht="20.100000000000001" customHeight="1" x14ac:dyDescent="0.2">
      <c r="I110" s="31"/>
      <c r="J110" s="31"/>
      <c r="K110" s="31"/>
    </row>
    <row r="111" spans="1:11" s="6" customFormat="1" ht="20.100000000000001" customHeight="1" x14ac:dyDescent="0.2">
      <c r="I111" s="31"/>
      <c r="J111" s="31"/>
      <c r="K111" s="31"/>
    </row>
    <row r="112" spans="1:11" s="6" customFormat="1" ht="20.100000000000001" customHeight="1" x14ac:dyDescent="0.2">
      <c r="I112" s="31"/>
      <c r="J112" s="31"/>
      <c r="K112" s="31"/>
    </row>
    <row r="113" spans="1:11" s="6" customFormat="1" ht="20.100000000000001" customHeight="1" x14ac:dyDescent="0.2">
      <c r="I113" s="31"/>
      <c r="J113" s="31"/>
      <c r="K113" s="31"/>
    </row>
    <row r="114" spans="1:11" s="6" customFormat="1" ht="20.100000000000001" customHeight="1" x14ac:dyDescent="0.2">
      <c r="I114" s="31"/>
      <c r="J114" s="31"/>
      <c r="K114" s="31"/>
    </row>
    <row r="115" spans="1:11" s="6" customFormat="1" ht="20.100000000000001" customHeight="1" x14ac:dyDescent="0.2">
      <c r="I115" s="31"/>
      <c r="J115" s="31"/>
      <c r="K115" s="31"/>
    </row>
    <row r="116" spans="1:11" s="6" customFormat="1" ht="20.100000000000001" customHeight="1" x14ac:dyDescent="0.2">
      <c r="A116" s="32" t="s">
        <v>353</v>
      </c>
      <c r="I116" s="31"/>
      <c r="J116" s="31"/>
      <c r="K116" s="31"/>
    </row>
    <row r="117" spans="1:11" s="6" customFormat="1" ht="20.100000000000001" customHeight="1" x14ac:dyDescent="0.2">
      <c r="I117" s="31"/>
      <c r="J117" s="31"/>
      <c r="K117" s="31"/>
    </row>
    <row r="118" spans="1:11" s="6" customFormat="1" ht="20.100000000000001" customHeight="1" x14ac:dyDescent="0.2">
      <c r="I118" s="31"/>
      <c r="J118" s="31"/>
      <c r="K118" s="31"/>
    </row>
    <row r="119" spans="1:11" s="6" customFormat="1" ht="20.100000000000001" customHeight="1" x14ac:dyDescent="0.2">
      <c r="I119" s="31"/>
      <c r="J119" s="31"/>
      <c r="K119" s="31"/>
    </row>
    <row r="120" spans="1:11" s="6" customFormat="1" ht="20.100000000000001" customHeight="1" x14ac:dyDescent="0.2">
      <c r="I120" s="31"/>
      <c r="J120" s="31"/>
      <c r="K120" s="31"/>
    </row>
    <row r="121" spans="1:11" s="6" customFormat="1" ht="20.100000000000001" customHeight="1" x14ac:dyDescent="0.2">
      <c r="I121" s="31"/>
      <c r="J121" s="31"/>
      <c r="K121" s="31"/>
    </row>
    <row r="122" spans="1:11" s="6" customFormat="1" ht="20.100000000000001" customHeight="1" x14ac:dyDescent="0.2">
      <c r="I122" s="31"/>
      <c r="J122" s="31"/>
      <c r="K122" s="31"/>
    </row>
    <row r="123" spans="1:11" s="6" customFormat="1" ht="20.100000000000001" customHeight="1" x14ac:dyDescent="0.2">
      <c r="I123" s="31"/>
      <c r="J123" s="31"/>
      <c r="K123" s="31"/>
    </row>
    <row r="124" spans="1:11" s="6" customFormat="1" ht="20.100000000000001" customHeight="1" x14ac:dyDescent="0.2">
      <c r="I124" s="31"/>
      <c r="J124" s="31"/>
      <c r="K124" s="31"/>
    </row>
    <row r="125" spans="1:11" s="6" customFormat="1" ht="20.100000000000001" customHeight="1" x14ac:dyDescent="0.2">
      <c r="I125" s="31"/>
      <c r="J125" s="31"/>
      <c r="K125" s="31"/>
    </row>
    <row r="126" spans="1:11" s="6" customFormat="1" ht="20.100000000000001" customHeight="1" x14ac:dyDescent="0.2">
      <c r="I126" s="31"/>
      <c r="J126" s="31"/>
      <c r="K126" s="31"/>
    </row>
    <row r="127" spans="1:11" s="6" customFormat="1" ht="20.100000000000001" customHeight="1" x14ac:dyDescent="0.2">
      <c r="I127" s="31"/>
      <c r="J127" s="31"/>
      <c r="K127" s="31"/>
    </row>
    <row r="128" spans="1:11" s="6" customFormat="1" ht="20.100000000000001" customHeight="1" x14ac:dyDescent="0.2">
      <c r="I128" s="31"/>
      <c r="J128" s="31"/>
      <c r="K128" s="31"/>
    </row>
    <row r="129" spans="9:11" s="6" customFormat="1" ht="20.100000000000001" customHeight="1" x14ac:dyDescent="0.2">
      <c r="I129" s="31"/>
      <c r="J129" s="31"/>
      <c r="K129" s="31"/>
    </row>
    <row r="130" spans="9:11" s="6" customFormat="1" ht="20.100000000000001" customHeight="1" x14ac:dyDescent="0.2">
      <c r="I130" s="31"/>
      <c r="J130" s="31"/>
      <c r="K130" s="31"/>
    </row>
    <row r="131" spans="9:11" s="6" customFormat="1" ht="20.100000000000001" customHeight="1" x14ac:dyDescent="0.2">
      <c r="I131" s="31"/>
      <c r="J131" s="31"/>
      <c r="K131" s="31"/>
    </row>
    <row r="132" spans="9:11" s="6" customFormat="1" ht="20.100000000000001" customHeight="1" x14ac:dyDescent="0.2">
      <c r="I132" s="31"/>
      <c r="J132" s="31"/>
      <c r="K132" s="31"/>
    </row>
    <row r="133" spans="9:11" s="6" customFormat="1" ht="20.100000000000001" customHeight="1" x14ac:dyDescent="0.2">
      <c r="I133" s="31"/>
      <c r="J133" s="31"/>
      <c r="K133" s="31"/>
    </row>
    <row r="134" spans="9:11" s="6" customFormat="1" ht="20.100000000000001" customHeight="1" x14ac:dyDescent="0.2">
      <c r="I134" s="31"/>
      <c r="J134" s="31"/>
      <c r="K134" s="31"/>
    </row>
    <row r="135" spans="9:11" s="6" customFormat="1" ht="20.100000000000001" customHeight="1" x14ac:dyDescent="0.2">
      <c r="I135" s="31"/>
      <c r="J135" s="31"/>
      <c r="K135" s="31"/>
    </row>
    <row r="136" spans="9:11" s="6" customFormat="1" ht="20.100000000000001" customHeight="1" x14ac:dyDescent="0.2">
      <c r="I136" s="31"/>
      <c r="J136" s="31"/>
      <c r="K136" s="31"/>
    </row>
    <row r="137" spans="9:11" s="6" customFormat="1" ht="20.100000000000001" customHeight="1" x14ac:dyDescent="0.2">
      <c r="I137" s="31"/>
      <c r="J137" s="31"/>
      <c r="K137" s="31"/>
    </row>
    <row r="138" spans="9:11" s="6" customFormat="1" ht="20.100000000000001" customHeight="1" x14ac:dyDescent="0.2">
      <c r="I138" s="31"/>
      <c r="J138" s="31"/>
      <c r="K138" s="31"/>
    </row>
    <row r="139" spans="9:11" s="6" customFormat="1" ht="20.100000000000001" customHeight="1" x14ac:dyDescent="0.2">
      <c r="I139" s="31"/>
      <c r="J139" s="31"/>
      <c r="K139" s="31"/>
    </row>
    <row r="140" spans="9:11" s="6" customFormat="1" ht="20.100000000000001" customHeight="1" x14ac:dyDescent="0.2">
      <c r="I140" s="31"/>
      <c r="J140" s="31"/>
      <c r="K140" s="31"/>
    </row>
    <row r="141" spans="9:11" s="6" customFormat="1" ht="20.100000000000001" customHeight="1" x14ac:dyDescent="0.2">
      <c r="I141" s="31"/>
      <c r="J141" s="31"/>
      <c r="K141" s="31"/>
    </row>
    <row r="142" spans="9:11" s="6" customFormat="1" ht="20.100000000000001" customHeight="1" x14ac:dyDescent="0.2">
      <c r="I142" s="31"/>
      <c r="J142" s="31"/>
      <c r="K142" s="31"/>
    </row>
    <row r="143" spans="9:11" s="6" customFormat="1" ht="20.100000000000001" customHeight="1" x14ac:dyDescent="0.2">
      <c r="I143" s="31"/>
      <c r="J143" s="31"/>
      <c r="K143" s="31"/>
    </row>
    <row r="144" spans="9:11" s="6" customFormat="1" ht="20.100000000000001" customHeight="1" x14ac:dyDescent="0.2">
      <c r="I144" s="31"/>
      <c r="J144" s="31"/>
      <c r="K144" s="31"/>
    </row>
  </sheetData>
  <mergeCells count="25">
    <mergeCell ref="A2:F2"/>
    <mergeCell ref="D5:F5"/>
    <mergeCell ref="D14:F14"/>
    <mergeCell ref="H20:I20"/>
    <mergeCell ref="C25:D25"/>
    <mergeCell ref="E25:F25"/>
    <mergeCell ref="A34:F34"/>
    <mergeCell ref="A26:B26"/>
    <mergeCell ref="C26:D26"/>
    <mergeCell ref="E26:F26"/>
    <mergeCell ref="A27:B27"/>
    <mergeCell ref="C27:D27"/>
    <mergeCell ref="E27:F27"/>
    <mergeCell ref="A28:B28"/>
    <mergeCell ref="C28:D28"/>
    <mergeCell ref="E28:F28"/>
    <mergeCell ref="C29:D29"/>
    <mergeCell ref="E29:F29"/>
    <mergeCell ref="A95:F95"/>
    <mergeCell ref="A46:E46"/>
    <mergeCell ref="A52:F52"/>
    <mergeCell ref="A53:F53"/>
    <mergeCell ref="A76:B76"/>
    <mergeCell ref="A85:E85"/>
    <mergeCell ref="A93:F93"/>
  </mergeCells>
  <printOptions horizontalCentered="1"/>
  <pageMargins left="0.19685039370078741" right="0.19685039370078741" top="0.19685039370078741" bottom="0.19685039370078741" header="0" footer="0"/>
  <pageSetup paperSize="9" orientation="portrait" r:id="rId1"/>
  <rowBreaks count="1" manualBreakCount="1">
    <brk id="38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4"/>
  <sheetViews>
    <sheetView zoomScaleNormal="100" workbookViewId="0">
      <selection activeCell="E13" sqref="E13"/>
    </sheetView>
  </sheetViews>
  <sheetFormatPr defaultColWidth="15.7109375" defaultRowHeight="20.100000000000001" customHeight="1" x14ac:dyDescent="0.2"/>
  <cols>
    <col min="1" max="2" width="15.7109375" style="137" customWidth="1"/>
    <col min="3" max="6" width="15.7109375" style="137"/>
    <col min="7" max="7" width="6.28515625" style="1" customWidth="1"/>
    <col min="8" max="8" width="20.28515625" style="1" customWidth="1"/>
    <col min="9" max="11" width="15.7109375" style="111"/>
    <col min="12" max="16384" width="15.7109375" style="1"/>
  </cols>
  <sheetData>
    <row r="1" spans="1:11" ht="20.100000000000001" customHeight="1" x14ac:dyDescent="0.2">
      <c r="A1" s="620" t="s">
        <v>364</v>
      </c>
      <c r="B1" s="620"/>
      <c r="C1" s="620"/>
      <c r="D1" s="620"/>
      <c r="E1" s="620"/>
      <c r="F1" s="620"/>
    </row>
    <row r="2" spans="1:11" ht="20.100000000000001" customHeight="1" x14ac:dyDescent="0.25">
      <c r="A2" s="597" t="s">
        <v>365</v>
      </c>
      <c r="B2" s="597"/>
      <c r="C2" s="597"/>
      <c r="D2" s="597"/>
      <c r="E2" s="597"/>
      <c r="F2" s="597"/>
    </row>
    <row r="3" spans="1:11" s="6" customFormat="1" ht="18.95" customHeight="1" x14ac:dyDescent="0.25">
      <c r="A3" s="138" t="s">
        <v>1</v>
      </c>
      <c r="B3" s="139"/>
      <c r="C3" s="140"/>
      <c r="D3" s="138" t="s">
        <v>374</v>
      </c>
      <c r="E3" s="141"/>
      <c r="F3" s="142"/>
      <c r="G3" s="113" t="s">
        <v>239</v>
      </c>
      <c r="I3" s="31"/>
      <c r="J3" s="31"/>
      <c r="K3" s="31"/>
    </row>
    <row r="4" spans="1:11" s="6" customFormat="1" ht="18.95" customHeight="1" x14ac:dyDescent="0.2">
      <c r="A4" s="143" t="s">
        <v>2</v>
      </c>
      <c r="B4" s="144"/>
      <c r="C4" s="145"/>
      <c r="D4" s="146">
        <v>28426</v>
      </c>
      <c r="E4" s="147"/>
      <c r="F4" s="148"/>
      <c r="G4" s="2"/>
      <c r="H4" s="6" t="s">
        <v>240</v>
      </c>
      <c r="I4" s="5" t="s">
        <v>242</v>
      </c>
      <c r="J4" s="31">
        <f>+F35</f>
        <v>1000000</v>
      </c>
      <c r="K4" s="31"/>
    </row>
    <row r="5" spans="1:11" s="6" customFormat="1" ht="18.95" customHeight="1" x14ac:dyDescent="0.2">
      <c r="A5" s="149" t="s">
        <v>3</v>
      </c>
      <c r="B5" s="144"/>
      <c r="C5" s="145"/>
      <c r="D5" s="143" t="s">
        <v>361</v>
      </c>
      <c r="E5" s="143"/>
      <c r="F5" s="231"/>
      <c r="G5" s="224"/>
      <c r="H5" s="6" t="s">
        <v>246</v>
      </c>
      <c r="I5" s="31"/>
      <c r="J5" s="110">
        <f>+F36</f>
        <v>50000</v>
      </c>
      <c r="K5" s="31"/>
    </row>
    <row r="6" spans="1:11" s="6" customFormat="1" ht="18.95" customHeight="1" x14ac:dyDescent="0.2">
      <c r="A6" s="143" t="s">
        <v>4</v>
      </c>
      <c r="B6" s="144"/>
      <c r="C6" s="145"/>
      <c r="D6" s="143" t="s">
        <v>372</v>
      </c>
      <c r="E6" s="150"/>
      <c r="F6" s="151"/>
      <c r="I6" s="5" t="s">
        <v>241</v>
      </c>
      <c r="J6" s="31">
        <f>J4-J5</f>
        <v>950000</v>
      </c>
      <c r="K6" s="31"/>
    </row>
    <row r="7" spans="1:11" s="6" customFormat="1" ht="18.95" customHeight="1" x14ac:dyDescent="0.2">
      <c r="A7" s="143" t="s">
        <v>5</v>
      </c>
      <c r="B7" s="144"/>
      <c r="C7" s="145"/>
      <c r="D7" s="221">
        <v>99100057172</v>
      </c>
      <c r="E7" s="150"/>
      <c r="F7" s="151"/>
      <c r="G7" s="3"/>
      <c r="H7" s="6" t="s">
        <v>244</v>
      </c>
      <c r="I7" s="24">
        <f>ROUND(J6*0.3,0)</f>
        <v>285000</v>
      </c>
      <c r="J7" s="31"/>
      <c r="K7" s="31"/>
    </row>
    <row r="8" spans="1:11" s="6" customFormat="1" ht="18.95" customHeight="1" x14ac:dyDescent="0.25">
      <c r="A8" s="143" t="s">
        <v>6</v>
      </c>
      <c r="B8" s="144"/>
      <c r="C8" s="145"/>
      <c r="D8" s="143" t="s">
        <v>183</v>
      </c>
      <c r="E8" s="150"/>
      <c r="F8" s="151"/>
      <c r="H8" s="6" t="s">
        <v>243</v>
      </c>
      <c r="I8" s="26">
        <f>+F37</f>
        <v>250000</v>
      </c>
      <c r="J8" s="110">
        <f>I7+I8</f>
        <v>535000</v>
      </c>
      <c r="K8" s="112">
        <f>J6-J8</f>
        <v>415000</v>
      </c>
    </row>
    <row r="9" spans="1:11" s="6" customFormat="1" ht="18.95" customHeight="1" x14ac:dyDescent="0.25">
      <c r="A9" s="143" t="s">
        <v>10</v>
      </c>
      <c r="B9" s="144"/>
      <c r="C9" s="145"/>
      <c r="D9" s="143" t="s">
        <v>11</v>
      </c>
      <c r="E9" s="150"/>
      <c r="F9" s="151"/>
      <c r="G9" s="113" t="s">
        <v>245</v>
      </c>
      <c r="J9" s="31"/>
      <c r="K9" s="31"/>
    </row>
    <row r="10" spans="1:11" s="6" customFormat="1" ht="18.95" customHeight="1" x14ac:dyDescent="0.25">
      <c r="A10" s="143" t="s">
        <v>12</v>
      </c>
      <c r="B10" s="144"/>
      <c r="C10" s="145"/>
      <c r="D10" s="99" t="s">
        <v>362</v>
      </c>
      <c r="E10" s="152"/>
      <c r="F10" s="153"/>
      <c r="G10" s="119">
        <v>1081</v>
      </c>
      <c r="H10" s="6" t="s">
        <v>247</v>
      </c>
      <c r="I10" s="116">
        <f>+D40</f>
        <v>42370</v>
      </c>
      <c r="J10" s="31">
        <f>+F41</f>
        <v>4120000</v>
      </c>
      <c r="K10" s="31"/>
    </row>
    <row r="11" spans="1:11" s="6" customFormat="1" ht="18.95" customHeight="1" x14ac:dyDescent="0.2">
      <c r="A11" s="143" t="s">
        <v>14</v>
      </c>
      <c r="B11" s="144"/>
      <c r="C11" s="145"/>
      <c r="D11" s="143" t="s">
        <v>177</v>
      </c>
      <c r="E11" s="150"/>
      <c r="F11" s="151"/>
      <c r="G11" s="23"/>
      <c r="H11" s="6" t="s">
        <v>251</v>
      </c>
      <c r="J11" s="31">
        <f>(+F42)*-1</f>
        <v>-40000</v>
      </c>
      <c r="K11" s="31"/>
    </row>
    <row r="12" spans="1:11" s="6" customFormat="1" ht="18.95" customHeight="1" x14ac:dyDescent="0.2">
      <c r="A12" s="143" t="s">
        <v>292</v>
      </c>
      <c r="B12" s="144"/>
      <c r="C12" s="145"/>
      <c r="D12" s="143" t="s">
        <v>231</v>
      </c>
      <c r="E12" s="150"/>
      <c r="F12" s="151"/>
      <c r="G12" s="23">
        <v>161</v>
      </c>
      <c r="H12" s="6" t="s">
        <v>252</v>
      </c>
      <c r="I12" s="116">
        <f>+D43</f>
        <v>32370</v>
      </c>
      <c r="J12" s="110">
        <f>ROUND((F43*G10/G12)*-1,0)</f>
        <v>-671429</v>
      </c>
      <c r="K12" s="31"/>
    </row>
    <row r="13" spans="1:11" s="6" customFormat="1" ht="18.95" customHeight="1" x14ac:dyDescent="0.2">
      <c r="A13" s="154" t="s">
        <v>290</v>
      </c>
      <c r="B13" s="144"/>
      <c r="C13" s="145"/>
      <c r="D13" s="143" t="s">
        <v>19</v>
      </c>
      <c r="E13" s="150"/>
      <c r="F13" s="151"/>
      <c r="G13" s="117"/>
      <c r="I13" s="31"/>
      <c r="J13" s="31">
        <f>SUM(J10:J12)</f>
        <v>3408571</v>
      </c>
      <c r="K13" s="31"/>
    </row>
    <row r="14" spans="1:11" s="6" customFormat="1" ht="30" customHeight="1" x14ac:dyDescent="0.25">
      <c r="A14" s="155" t="s">
        <v>368</v>
      </c>
      <c r="B14" s="144"/>
      <c r="C14" s="145"/>
      <c r="D14" s="598" t="s">
        <v>363</v>
      </c>
      <c r="E14" s="599"/>
      <c r="F14" s="600"/>
      <c r="G14" s="117"/>
      <c r="H14" s="6" t="s">
        <v>253</v>
      </c>
      <c r="I14" s="31"/>
      <c r="J14" s="110">
        <f>+F44</f>
        <v>2400000</v>
      </c>
      <c r="K14" s="112">
        <f>J13-J14</f>
        <v>1008571</v>
      </c>
    </row>
    <row r="15" spans="1:11" s="6" customFormat="1" ht="18.95" customHeight="1" x14ac:dyDescent="0.25">
      <c r="A15" s="156" t="s">
        <v>22</v>
      </c>
      <c r="B15" s="157"/>
      <c r="C15" s="158"/>
      <c r="D15" s="156" t="s">
        <v>366</v>
      </c>
      <c r="E15" s="159"/>
      <c r="F15" s="160"/>
      <c r="G15" s="113" t="s">
        <v>254</v>
      </c>
      <c r="I15" s="31"/>
      <c r="J15" s="31"/>
      <c r="K15" s="31"/>
    </row>
    <row r="16" spans="1:11" s="6" customFormat="1" ht="20.100000000000001" customHeight="1" x14ac:dyDescent="0.2">
      <c r="A16" s="161" t="s">
        <v>234</v>
      </c>
      <c r="B16" s="162"/>
      <c r="C16" s="162"/>
      <c r="D16" s="162"/>
      <c r="E16" s="162"/>
      <c r="F16" s="162"/>
      <c r="H16" s="6" t="s">
        <v>370</v>
      </c>
      <c r="I16" s="31"/>
      <c r="J16" s="31"/>
      <c r="K16" s="31"/>
    </row>
    <row r="17" spans="1:11" s="6" customFormat="1" ht="20.100000000000001" customHeight="1" x14ac:dyDescent="0.25">
      <c r="A17" s="163" t="s">
        <v>25</v>
      </c>
      <c r="B17" s="164"/>
      <c r="C17" s="165"/>
      <c r="D17" s="218" t="s">
        <v>356</v>
      </c>
      <c r="E17" s="218" t="s">
        <v>357</v>
      </c>
      <c r="F17" s="218" t="s">
        <v>358</v>
      </c>
      <c r="H17" s="6" t="s">
        <v>255</v>
      </c>
      <c r="I17" s="31"/>
      <c r="J17" s="31"/>
      <c r="K17" s="112">
        <f>+F47</f>
        <v>12500</v>
      </c>
    </row>
    <row r="18" spans="1:11" s="6" customFormat="1" ht="20.100000000000001" customHeight="1" x14ac:dyDescent="0.25">
      <c r="A18" s="163" t="s">
        <v>29</v>
      </c>
      <c r="B18" s="164"/>
      <c r="C18" s="165"/>
      <c r="D18" s="166">
        <v>28426</v>
      </c>
      <c r="E18" s="166">
        <f>+D18</f>
        <v>28426</v>
      </c>
      <c r="F18" s="166">
        <f>+D18</f>
        <v>28426</v>
      </c>
      <c r="G18" s="113" t="s">
        <v>257</v>
      </c>
      <c r="I18" s="31"/>
      <c r="J18" s="31"/>
      <c r="K18" s="31"/>
    </row>
    <row r="19" spans="1:11" s="6" customFormat="1" ht="20.100000000000001" customHeight="1" x14ac:dyDescent="0.2">
      <c r="A19" s="163" t="s">
        <v>31</v>
      </c>
      <c r="B19" s="164"/>
      <c r="C19" s="165"/>
      <c r="D19" s="167">
        <v>0.4</v>
      </c>
      <c r="E19" s="167">
        <f>(1-D19)/2</f>
        <v>0.3</v>
      </c>
      <c r="F19" s="167">
        <f>+E19</f>
        <v>0.3</v>
      </c>
      <c r="G19" s="4"/>
      <c r="H19" s="6" t="s">
        <v>278</v>
      </c>
      <c r="I19" s="31"/>
      <c r="J19" s="31">
        <f>+I31</f>
        <v>2545625</v>
      </c>
      <c r="K19" s="31"/>
    </row>
    <row r="20" spans="1:11" s="6" customFormat="1" ht="55.5" customHeight="1" x14ac:dyDescent="0.25">
      <c r="A20" s="168" t="s">
        <v>235</v>
      </c>
      <c r="B20" s="164"/>
      <c r="C20" s="165"/>
      <c r="D20" s="169" t="s">
        <v>361</v>
      </c>
      <c r="E20" s="169" t="s">
        <v>359</v>
      </c>
      <c r="F20" s="169" t="s">
        <v>360</v>
      </c>
      <c r="H20" s="557" t="s">
        <v>371</v>
      </c>
      <c r="I20" s="557"/>
      <c r="J20" s="110">
        <f>+I30</f>
        <v>900000</v>
      </c>
      <c r="K20" s="112">
        <f>J19-J20</f>
        <v>1645625</v>
      </c>
    </row>
    <row r="21" spans="1:11" s="6" customFormat="1" ht="20.100000000000001" customHeight="1" x14ac:dyDescent="0.2">
      <c r="A21" s="163" t="s">
        <v>4</v>
      </c>
      <c r="B21" s="164"/>
      <c r="C21" s="165"/>
      <c r="D21" s="218" t="s">
        <v>36</v>
      </c>
      <c r="E21" s="218" t="s">
        <v>367</v>
      </c>
      <c r="F21" s="218" t="s">
        <v>350</v>
      </c>
      <c r="H21" s="6" t="s">
        <v>272</v>
      </c>
      <c r="I21" s="31">
        <f>+C78</f>
        <v>1500170</v>
      </c>
      <c r="J21" s="31"/>
      <c r="K21" s="31"/>
    </row>
    <row r="22" spans="1:11" s="6" customFormat="1" ht="20.100000000000001" customHeight="1" x14ac:dyDescent="0.2">
      <c r="A22" s="143" t="s">
        <v>39</v>
      </c>
      <c r="B22" s="144"/>
      <c r="C22" s="144"/>
      <c r="D22" s="144" t="str">
        <f>+D17</f>
        <v>Sunita Kaistha</v>
      </c>
      <c r="E22" s="144"/>
      <c r="F22" s="145"/>
      <c r="H22" s="6" t="s">
        <v>224</v>
      </c>
      <c r="I22" s="31">
        <f>+F81+F84</f>
        <v>119000</v>
      </c>
      <c r="J22" s="31"/>
      <c r="K22" s="31"/>
    </row>
    <row r="23" spans="1:11" s="6" customFormat="1" ht="20.100000000000001" customHeight="1" x14ac:dyDescent="0.2">
      <c r="A23" s="156" t="s">
        <v>237</v>
      </c>
      <c r="B23" s="157"/>
      <c r="C23" s="157"/>
      <c r="D23" s="157" t="s">
        <v>381</v>
      </c>
      <c r="E23" s="157"/>
      <c r="F23" s="158"/>
      <c r="G23" s="227" t="s">
        <v>226</v>
      </c>
      <c r="H23" s="226" t="s">
        <v>225</v>
      </c>
      <c r="I23" s="31"/>
      <c r="J23" s="31"/>
      <c r="K23" s="31"/>
    </row>
    <row r="24" spans="1:11" s="6" customFormat="1" ht="20.100000000000001" customHeight="1" x14ac:dyDescent="0.2">
      <c r="A24" s="161" t="s">
        <v>197</v>
      </c>
      <c r="B24" s="162"/>
      <c r="C24" s="162"/>
      <c r="D24" s="170"/>
      <c r="E24" s="170" t="s">
        <v>238</v>
      </c>
      <c r="F24" s="162"/>
      <c r="G24" s="6" t="s">
        <v>269</v>
      </c>
      <c r="H24" s="6" t="s">
        <v>258</v>
      </c>
      <c r="I24" s="31">
        <f>F85*-1</f>
        <v>-25000</v>
      </c>
      <c r="J24" s="31"/>
      <c r="K24" s="31"/>
    </row>
    <row r="25" spans="1:11" s="6" customFormat="1" ht="20.100000000000001" customHeight="1" x14ac:dyDescent="0.2">
      <c r="A25" s="219" t="s">
        <v>43</v>
      </c>
      <c r="B25" s="171"/>
      <c r="C25" s="601" t="s">
        <v>45</v>
      </c>
      <c r="D25" s="601"/>
      <c r="E25" s="601" t="s">
        <v>227</v>
      </c>
      <c r="F25" s="601"/>
      <c r="G25" s="34"/>
      <c r="H25" s="6" t="s">
        <v>259</v>
      </c>
      <c r="I25" s="31">
        <f>+C74</f>
        <v>301455</v>
      </c>
      <c r="J25" s="31"/>
      <c r="K25" s="31"/>
    </row>
    <row r="26" spans="1:11" s="6" customFormat="1" ht="20.100000000000001" customHeight="1" x14ac:dyDescent="0.2">
      <c r="A26" s="603" t="s">
        <v>47</v>
      </c>
      <c r="B26" s="604"/>
      <c r="C26" s="602">
        <v>25478962525</v>
      </c>
      <c r="D26" s="602"/>
      <c r="E26" s="602">
        <v>3156845659</v>
      </c>
      <c r="F26" s="602"/>
      <c r="G26" s="34"/>
      <c r="H26" s="6" t="s">
        <v>260</v>
      </c>
      <c r="I26" s="31">
        <f>(+I91+J91)*-1</f>
        <v>-330000</v>
      </c>
      <c r="J26" s="31"/>
      <c r="K26" s="31"/>
    </row>
    <row r="27" spans="1:11" s="6" customFormat="1" ht="20.100000000000001" customHeight="1" x14ac:dyDescent="0.2">
      <c r="A27" s="603" t="s">
        <v>48</v>
      </c>
      <c r="B27" s="604"/>
      <c r="C27" s="602" t="s">
        <v>211</v>
      </c>
      <c r="D27" s="602"/>
      <c r="E27" s="602" t="s">
        <v>310</v>
      </c>
      <c r="F27" s="602"/>
      <c r="G27" s="34" t="s">
        <v>271</v>
      </c>
      <c r="H27" s="6" t="s">
        <v>267</v>
      </c>
      <c r="I27" s="121">
        <f>+F48</f>
        <v>80000</v>
      </c>
      <c r="J27" s="31"/>
      <c r="K27" s="31"/>
    </row>
    <row r="28" spans="1:11" s="6" customFormat="1" ht="20.100000000000001" customHeight="1" x14ac:dyDescent="0.2">
      <c r="A28" s="603" t="s">
        <v>51</v>
      </c>
      <c r="B28" s="604"/>
      <c r="C28" s="602" t="s">
        <v>52</v>
      </c>
      <c r="D28" s="602"/>
      <c r="E28" s="602" t="s">
        <v>52</v>
      </c>
      <c r="F28" s="602"/>
      <c r="G28" s="225" t="s">
        <v>270</v>
      </c>
      <c r="H28" s="226" t="s">
        <v>261</v>
      </c>
      <c r="I28" s="110"/>
      <c r="J28" s="31"/>
      <c r="K28" s="31"/>
    </row>
    <row r="29" spans="1:11" s="6" customFormat="1" ht="20.100000000000001" customHeight="1" x14ac:dyDescent="0.25">
      <c r="A29" s="172" t="s">
        <v>228</v>
      </c>
      <c r="B29" s="172"/>
      <c r="C29" s="602"/>
      <c r="D29" s="602"/>
      <c r="E29" s="605" t="s">
        <v>182</v>
      </c>
      <c r="F29" s="605"/>
      <c r="H29" s="25" t="s">
        <v>273</v>
      </c>
      <c r="I29" s="112">
        <f>SUM(I21:I28)</f>
        <v>1645625</v>
      </c>
      <c r="J29" s="31"/>
      <c r="K29" s="31"/>
    </row>
    <row r="30" spans="1:11" s="6" customFormat="1" ht="20.100000000000001" customHeight="1" x14ac:dyDescent="0.2">
      <c r="A30" s="161" t="s">
        <v>55</v>
      </c>
      <c r="B30" s="162"/>
      <c r="C30" s="162"/>
      <c r="D30" s="162"/>
      <c r="E30" s="173">
        <v>42643</v>
      </c>
      <c r="F30" s="162"/>
      <c r="H30" s="6" t="s">
        <v>275</v>
      </c>
      <c r="I30" s="31">
        <f>+C76</f>
        <v>900000</v>
      </c>
      <c r="J30" s="31"/>
      <c r="K30" s="31"/>
    </row>
    <row r="31" spans="1:11" s="6" customFormat="1" ht="20.100000000000001" customHeight="1" thickBot="1" x14ac:dyDescent="0.3">
      <c r="A31" s="161" t="s">
        <v>56</v>
      </c>
      <c r="B31" s="162"/>
      <c r="C31" s="162"/>
      <c r="D31" s="162"/>
      <c r="E31" s="170" t="s">
        <v>57</v>
      </c>
      <c r="F31" s="162"/>
      <c r="H31" s="6" t="s">
        <v>274</v>
      </c>
      <c r="I31" s="118">
        <f>I30+I29</f>
        <v>2545625</v>
      </c>
      <c r="J31" s="31"/>
      <c r="K31" s="31"/>
    </row>
    <row r="32" spans="1:11" s="6" customFormat="1" ht="20.100000000000001" customHeight="1" thickTop="1" x14ac:dyDescent="0.25">
      <c r="A32" s="174" t="s">
        <v>198</v>
      </c>
      <c r="B32" s="162"/>
      <c r="C32" s="162"/>
      <c r="D32" s="175"/>
      <c r="E32" s="162"/>
      <c r="F32" s="162"/>
      <c r="H32" s="25" t="s">
        <v>276</v>
      </c>
      <c r="I32" s="31"/>
      <c r="J32" s="31"/>
      <c r="K32" s="31"/>
    </row>
    <row r="33" spans="1:11" s="6" customFormat="1" ht="20.100000000000001" customHeight="1" x14ac:dyDescent="0.25">
      <c r="A33" s="176" t="s">
        <v>59</v>
      </c>
      <c r="B33" s="139"/>
      <c r="C33" s="139"/>
      <c r="D33" s="177"/>
      <c r="E33" s="139"/>
      <c r="F33" s="140"/>
      <c r="H33" s="6" t="s">
        <v>318</v>
      </c>
      <c r="I33" s="31">
        <f>300000*0.9</f>
        <v>270000</v>
      </c>
      <c r="J33" s="31"/>
      <c r="K33" s="31"/>
    </row>
    <row r="34" spans="1:11" s="6" customFormat="1" ht="30" customHeight="1" x14ac:dyDescent="0.2">
      <c r="A34" s="598" t="s">
        <v>291</v>
      </c>
      <c r="B34" s="599"/>
      <c r="C34" s="599"/>
      <c r="D34" s="599"/>
      <c r="E34" s="599"/>
      <c r="F34" s="600"/>
      <c r="H34" s="6" t="s">
        <v>317</v>
      </c>
      <c r="I34" s="31">
        <f>(I31-300000)*0.6</f>
        <v>1347375</v>
      </c>
      <c r="J34" s="31"/>
      <c r="K34" s="31"/>
    </row>
    <row r="35" spans="1:11" s="6" customFormat="1" ht="20.100000000000001" customHeight="1" thickBot="1" x14ac:dyDescent="0.3">
      <c r="A35" s="143" t="s">
        <v>191</v>
      </c>
      <c r="B35" s="178"/>
      <c r="C35" s="178"/>
      <c r="D35" s="178"/>
      <c r="E35" s="178"/>
      <c r="F35" s="179">
        <v>1000000</v>
      </c>
      <c r="H35" s="6" t="s">
        <v>277</v>
      </c>
      <c r="I35" s="118">
        <f>SUM(I33:I34)</f>
        <v>1617375</v>
      </c>
      <c r="J35" s="31"/>
      <c r="K35" s="31"/>
    </row>
    <row r="36" spans="1:11" s="6" customFormat="1" ht="20.100000000000001" customHeight="1" thickTop="1" x14ac:dyDescent="0.2">
      <c r="A36" s="143" t="s">
        <v>192</v>
      </c>
      <c r="B36" s="144"/>
      <c r="C36" s="144"/>
      <c r="D36" s="144"/>
      <c r="E36" s="180"/>
      <c r="F36" s="179">
        <f>ROUND(F35*0.05,0)</f>
        <v>50000</v>
      </c>
      <c r="G36" s="5"/>
      <c r="I36" s="31"/>
      <c r="J36" s="31"/>
      <c r="K36" s="31"/>
    </row>
    <row r="37" spans="1:11" s="6" customFormat="1" ht="20.100000000000001" customHeight="1" x14ac:dyDescent="0.2">
      <c r="A37" s="143" t="s">
        <v>63</v>
      </c>
      <c r="B37" s="144"/>
      <c r="C37" s="144"/>
      <c r="D37" s="144"/>
      <c r="E37" s="181"/>
      <c r="F37" s="179">
        <f>ROUND(F35*0.25,0)</f>
        <v>250000</v>
      </c>
      <c r="G37" s="34"/>
    </row>
    <row r="38" spans="1:11" s="6" customFormat="1" ht="20.100000000000001" customHeight="1" x14ac:dyDescent="0.2">
      <c r="A38" s="156" t="s">
        <v>296</v>
      </c>
      <c r="B38" s="157"/>
      <c r="C38" s="157"/>
      <c r="D38" s="157"/>
      <c r="E38" s="222">
        <v>100000</v>
      </c>
      <c r="F38" s="223" t="s">
        <v>297</v>
      </c>
      <c r="G38" s="34"/>
    </row>
    <row r="39" spans="1:11" s="6" customFormat="1" ht="20.100000000000001" customHeight="1" x14ac:dyDescent="0.25">
      <c r="A39" s="176" t="s">
        <v>204</v>
      </c>
      <c r="B39" s="139"/>
      <c r="C39" s="139"/>
      <c r="D39" s="139"/>
      <c r="E39" s="183"/>
      <c r="F39" s="184"/>
      <c r="G39" s="34"/>
    </row>
    <row r="40" spans="1:11" s="6" customFormat="1" ht="20.100000000000001" customHeight="1" x14ac:dyDescent="0.2">
      <c r="A40" s="143" t="s">
        <v>248</v>
      </c>
      <c r="B40" s="144"/>
      <c r="C40" s="144"/>
      <c r="D40" s="185">
        <v>42370</v>
      </c>
      <c r="E40" s="181"/>
      <c r="F40" s="179">
        <v>4000000</v>
      </c>
      <c r="G40" s="34"/>
    </row>
    <row r="41" spans="1:11" s="6" customFormat="1" ht="20.100000000000001" customHeight="1" x14ac:dyDescent="0.2">
      <c r="A41" s="143" t="s">
        <v>69</v>
      </c>
      <c r="B41" s="144"/>
      <c r="C41" s="144"/>
      <c r="D41" s="144"/>
      <c r="E41" s="144"/>
      <c r="F41" s="179">
        <f>ROUND(F40*1.03,0)</f>
        <v>4120000</v>
      </c>
      <c r="G41" s="34"/>
    </row>
    <row r="42" spans="1:11" s="6" customFormat="1" ht="20.100000000000001" customHeight="1" x14ac:dyDescent="0.2">
      <c r="A42" s="143" t="s">
        <v>71</v>
      </c>
      <c r="B42" s="144"/>
      <c r="C42" s="144"/>
      <c r="D42" s="144"/>
      <c r="E42" s="180"/>
      <c r="F42" s="179">
        <f>ROUND(F40*0.01,0)</f>
        <v>40000</v>
      </c>
      <c r="G42" s="5"/>
    </row>
    <row r="43" spans="1:11" s="6" customFormat="1" ht="20.100000000000001" customHeight="1" x14ac:dyDescent="0.25">
      <c r="A43" s="143" t="s">
        <v>249</v>
      </c>
      <c r="B43" s="144"/>
      <c r="C43" s="144"/>
      <c r="D43" s="185">
        <f>D40-10000</f>
        <v>32370</v>
      </c>
      <c r="E43" s="180"/>
      <c r="F43" s="179">
        <f>ROUND(F40/40,0)</f>
        <v>100000</v>
      </c>
      <c r="G43" s="5"/>
      <c r="H43" s="123" t="s">
        <v>280</v>
      </c>
      <c r="I43" s="122"/>
      <c r="J43" s="122"/>
      <c r="K43" s="112">
        <f>SUM(K3:K36)</f>
        <v>3081696</v>
      </c>
    </row>
    <row r="44" spans="1:11" s="6" customFormat="1" ht="20.100000000000001" customHeight="1" x14ac:dyDescent="0.2">
      <c r="A44" s="156" t="s">
        <v>250</v>
      </c>
      <c r="B44" s="157"/>
      <c r="C44" s="157"/>
      <c r="D44" s="186">
        <f>D40+125</f>
        <v>42495</v>
      </c>
      <c r="E44" s="182"/>
      <c r="F44" s="187">
        <f>ROUND(F40*0.6,0)</f>
        <v>2400000</v>
      </c>
      <c r="G44" s="34"/>
      <c r="H44" s="6" t="s">
        <v>281</v>
      </c>
      <c r="I44" s="31"/>
      <c r="J44" s="31"/>
      <c r="K44" s="31">
        <f>+F48</f>
        <v>80000</v>
      </c>
    </row>
    <row r="45" spans="1:11" s="6" customFormat="1" ht="20.100000000000001" customHeight="1" x14ac:dyDescent="0.25">
      <c r="A45" s="176" t="s">
        <v>79</v>
      </c>
      <c r="B45" s="139"/>
      <c r="C45" s="139"/>
      <c r="D45" s="144"/>
      <c r="E45" s="144"/>
      <c r="F45" s="184"/>
      <c r="H45" s="6" t="s">
        <v>284</v>
      </c>
      <c r="I45" s="31"/>
      <c r="J45" s="31"/>
      <c r="K45" s="31">
        <f>K43-K44</f>
        <v>3001696</v>
      </c>
    </row>
    <row r="46" spans="1:11" s="6" customFormat="1" ht="20.25" customHeight="1" x14ac:dyDescent="0.2">
      <c r="A46" s="598" t="s">
        <v>369</v>
      </c>
      <c r="B46" s="599"/>
      <c r="C46" s="599"/>
      <c r="D46" s="599"/>
      <c r="E46" s="599"/>
      <c r="F46" s="179">
        <v>125000</v>
      </c>
      <c r="G46" s="34"/>
      <c r="H46" s="44" t="s">
        <v>282</v>
      </c>
      <c r="I46" s="28">
        <v>0.3</v>
      </c>
      <c r="J46" s="31">
        <f>ROUND((K45-K14)*0.3,0)</f>
        <v>597938</v>
      </c>
      <c r="K46" s="31"/>
    </row>
    <row r="47" spans="1:11" s="6" customFormat="1" ht="20.100000000000001" customHeight="1" x14ac:dyDescent="0.2">
      <c r="A47" s="156" t="s">
        <v>189</v>
      </c>
      <c r="B47" s="159"/>
      <c r="C47" s="159"/>
      <c r="D47" s="159"/>
      <c r="E47" s="188"/>
      <c r="F47" s="187">
        <f>ROUND(F46/10,0)</f>
        <v>12500</v>
      </c>
      <c r="G47" s="5"/>
      <c r="H47" s="44" t="s">
        <v>283</v>
      </c>
      <c r="I47" s="28">
        <v>0.2</v>
      </c>
      <c r="J47" s="110">
        <f>ROUND(K14*I47,0)</f>
        <v>201714</v>
      </c>
      <c r="K47" s="31"/>
    </row>
    <row r="48" spans="1:11" s="6" customFormat="1" ht="20.100000000000001" customHeight="1" x14ac:dyDescent="0.2">
      <c r="A48" s="162" t="s">
        <v>193</v>
      </c>
      <c r="B48" s="162"/>
      <c r="C48" s="162"/>
      <c r="D48" s="162"/>
      <c r="E48" s="189"/>
      <c r="F48" s="190">
        <v>80000</v>
      </c>
      <c r="G48" s="5"/>
      <c r="H48" s="44"/>
      <c r="I48" s="31"/>
      <c r="J48" s="31">
        <f>SUM(J46:J47)</f>
        <v>799652</v>
      </c>
      <c r="K48" s="31"/>
    </row>
    <row r="49" spans="1:11" s="6" customFormat="1" ht="20.100000000000001" customHeight="1" x14ac:dyDescent="0.2">
      <c r="A49" s="162" t="s">
        <v>194</v>
      </c>
      <c r="B49" s="162"/>
      <c r="C49" s="162"/>
      <c r="D49" s="162"/>
      <c r="E49" s="162"/>
      <c r="F49" s="190"/>
      <c r="H49" s="44" t="s">
        <v>285</v>
      </c>
      <c r="I49" s="28">
        <v>0.03</v>
      </c>
      <c r="J49" s="110">
        <f>ROUND(I49*J48,0)</f>
        <v>23990</v>
      </c>
    </row>
    <row r="50" spans="1:11" s="6" customFormat="1" ht="20.100000000000001" customHeight="1" x14ac:dyDescent="0.25">
      <c r="A50" s="162" t="s">
        <v>315</v>
      </c>
      <c r="B50" s="162"/>
      <c r="C50" s="162"/>
      <c r="D50" s="162"/>
      <c r="E50" s="189"/>
      <c r="F50" s="190">
        <f>ROUND(F54/400,0)</f>
        <v>35000</v>
      </c>
      <c r="G50" s="5"/>
      <c r="H50" s="6" t="s">
        <v>286</v>
      </c>
      <c r="I50" s="28"/>
      <c r="K50" s="125">
        <f>J48+J49</f>
        <v>823642</v>
      </c>
    </row>
    <row r="51" spans="1:11" s="6" customFormat="1" ht="20.100000000000001" customHeight="1" x14ac:dyDescent="0.2">
      <c r="A51" s="162" t="s">
        <v>316</v>
      </c>
      <c r="B51" s="162"/>
      <c r="C51" s="162"/>
      <c r="D51" s="162"/>
      <c r="E51" s="189"/>
      <c r="F51" s="190">
        <f>ROUND(F50*1.2,0)</f>
        <v>42000</v>
      </c>
      <c r="G51" s="5"/>
      <c r="H51" s="6" t="s">
        <v>287</v>
      </c>
      <c r="J51" s="31">
        <f>ROUND(J4*0.1,0)</f>
        <v>100000</v>
      </c>
      <c r="K51" s="31"/>
    </row>
    <row r="52" spans="1:11" s="6" customFormat="1" ht="18" customHeight="1" x14ac:dyDescent="0.2">
      <c r="A52" s="615" t="s">
        <v>200</v>
      </c>
      <c r="B52" s="616"/>
      <c r="C52" s="616"/>
      <c r="D52" s="616"/>
      <c r="E52" s="616"/>
      <c r="F52" s="617"/>
      <c r="H52" s="6" t="s">
        <v>288</v>
      </c>
      <c r="J52" s="110">
        <f>F50+F51</f>
        <v>77000</v>
      </c>
      <c r="K52" s="31">
        <f>J51+J52</f>
        <v>177000</v>
      </c>
    </row>
    <row r="53" spans="1:11" s="6" customFormat="1" ht="20.100000000000001" customHeight="1" x14ac:dyDescent="0.25">
      <c r="A53" s="611" t="s">
        <v>232</v>
      </c>
      <c r="B53" s="611"/>
      <c r="C53" s="611"/>
      <c r="D53" s="611"/>
      <c r="E53" s="611"/>
      <c r="F53" s="611"/>
      <c r="G53" s="25"/>
      <c r="H53" s="123" t="s">
        <v>289</v>
      </c>
      <c r="I53" s="31"/>
      <c r="K53" s="124">
        <f>K50-K52</f>
        <v>646642</v>
      </c>
    </row>
    <row r="54" spans="1:11" s="6" customFormat="1" ht="20.100000000000001" customHeight="1" x14ac:dyDescent="0.2">
      <c r="A54" s="191" t="s">
        <v>202</v>
      </c>
      <c r="B54" s="192"/>
      <c r="C54" s="80">
        <f>ROUND(F57*1.1,0)</f>
        <v>1570800</v>
      </c>
      <c r="D54" s="193" t="s">
        <v>199</v>
      </c>
      <c r="E54" s="194"/>
      <c r="F54" s="80">
        <v>14000000</v>
      </c>
      <c r="G54" s="34"/>
      <c r="I54" s="31"/>
      <c r="J54" s="31"/>
      <c r="K54" s="31"/>
    </row>
    <row r="55" spans="1:11" s="6" customFormat="1" ht="20.100000000000001" customHeight="1" x14ac:dyDescent="0.2">
      <c r="A55" s="191" t="s">
        <v>203</v>
      </c>
      <c r="B55" s="192"/>
      <c r="C55" s="80">
        <f>ROUND(F54*0.525,0)</f>
        <v>7350000</v>
      </c>
      <c r="D55" s="193" t="s">
        <v>233</v>
      </c>
      <c r="E55" s="194"/>
      <c r="F55" s="80">
        <f>ROUND(F54*0.01,0)</f>
        <v>140000</v>
      </c>
      <c r="G55" s="34"/>
      <c r="I55" s="31"/>
      <c r="J55" s="31"/>
      <c r="K55" s="31"/>
    </row>
    <row r="56" spans="1:11" s="6" customFormat="1" ht="20.100000000000001" customHeight="1" x14ac:dyDescent="0.2">
      <c r="A56" s="191" t="s">
        <v>98</v>
      </c>
      <c r="B56" s="192"/>
      <c r="C56" s="80">
        <f>ROUND(C55/100,0)+5000</f>
        <v>78500</v>
      </c>
      <c r="D56" s="193" t="s">
        <v>201</v>
      </c>
      <c r="E56" s="195"/>
      <c r="F56" s="80">
        <f>ROUND(F55*1.15,0)</f>
        <v>161000</v>
      </c>
      <c r="G56" s="34"/>
      <c r="I56" s="31"/>
      <c r="J56" s="31"/>
      <c r="K56" s="31"/>
    </row>
    <row r="57" spans="1:11" s="6" customFormat="1" ht="20.100000000000001" customHeight="1" x14ac:dyDescent="0.2">
      <c r="A57" s="191" t="s">
        <v>214</v>
      </c>
      <c r="B57" s="192"/>
      <c r="C57" s="80">
        <f>ROUND(C56*1.1,0)</f>
        <v>86350</v>
      </c>
      <c r="D57" s="193" t="s">
        <v>164</v>
      </c>
      <c r="E57" s="195"/>
      <c r="F57" s="80">
        <f>ROUND(F54/10+F55/5,0)</f>
        <v>1428000</v>
      </c>
      <c r="G57" s="34"/>
      <c r="I57" s="31"/>
      <c r="J57" s="31"/>
      <c r="K57" s="31"/>
    </row>
    <row r="58" spans="1:11" s="6" customFormat="1" ht="20.100000000000001" customHeight="1" x14ac:dyDescent="0.2">
      <c r="A58" s="191" t="s">
        <v>102</v>
      </c>
      <c r="B58" s="192"/>
      <c r="C58" s="80">
        <f>ROUND(F56/4,0)</f>
        <v>40250</v>
      </c>
      <c r="D58" s="196"/>
      <c r="E58" s="181"/>
      <c r="F58" s="197"/>
      <c r="G58" s="34"/>
      <c r="I58" s="31"/>
      <c r="J58" s="31"/>
      <c r="K58" s="31"/>
    </row>
    <row r="59" spans="1:11" s="6" customFormat="1" ht="20.100000000000001" customHeight="1" x14ac:dyDescent="0.2">
      <c r="A59" s="191" t="s">
        <v>103</v>
      </c>
      <c r="B59" s="192"/>
      <c r="C59" s="78">
        <f>ROUND(C58/5,0)</f>
        <v>8050</v>
      </c>
      <c r="D59" s="196"/>
      <c r="E59" s="180"/>
      <c r="F59" s="197"/>
      <c r="G59" s="5"/>
      <c r="I59" s="31"/>
      <c r="J59" s="31"/>
      <c r="K59" s="31"/>
    </row>
    <row r="60" spans="1:11" s="6" customFormat="1" ht="20.100000000000001" customHeight="1" x14ac:dyDescent="0.2">
      <c r="A60" s="191" t="s">
        <v>205</v>
      </c>
      <c r="B60" s="192"/>
      <c r="C60" s="80">
        <f>C58+C59</f>
        <v>48300</v>
      </c>
      <c r="D60" s="144"/>
      <c r="E60" s="180"/>
      <c r="F60" s="197"/>
      <c r="G60" s="5"/>
      <c r="I60" s="31"/>
      <c r="J60" s="31"/>
      <c r="K60" s="31"/>
    </row>
    <row r="61" spans="1:11" s="6" customFormat="1" ht="20.100000000000001" customHeight="1" x14ac:dyDescent="0.2">
      <c r="A61" s="191" t="s">
        <v>206</v>
      </c>
      <c r="B61" s="192"/>
      <c r="C61" s="80">
        <f>ROUND(+C58*1.1,0)</f>
        <v>44275</v>
      </c>
      <c r="D61" s="144"/>
      <c r="E61" s="180"/>
      <c r="F61" s="197"/>
      <c r="G61" s="5"/>
      <c r="I61" s="31"/>
      <c r="J61" s="31"/>
      <c r="K61" s="31"/>
    </row>
    <row r="62" spans="1:11" s="6" customFormat="1" ht="20.100000000000001" customHeight="1" x14ac:dyDescent="0.2">
      <c r="A62" s="191" t="s">
        <v>207</v>
      </c>
      <c r="B62" s="192"/>
      <c r="C62" s="80">
        <f>ROUND(+F55/2,0)</f>
        <v>70000</v>
      </c>
      <c r="D62" s="144"/>
      <c r="E62" s="180"/>
      <c r="F62" s="197"/>
      <c r="G62" s="5"/>
      <c r="I62" s="31"/>
      <c r="J62" s="31"/>
      <c r="K62" s="31"/>
    </row>
    <row r="63" spans="1:11" s="6" customFormat="1" ht="20.100000000000001" customHeight="1" x14ac:dyDescent="0.2">
      <c r="A63" s="191" t="s">
        <v>107</v>
      </c>
      <c r="B63" s="192"/>
      <c r="C63" s="80">
        <f>ROUND(F54*0.15,0)</f>
        <v>2100000</v>
      </c>
      <c r="D63" s="144"/>
      <c r="E63" s="181"/>
      <c r="F63" s="197"/>
      <c r="G63" s="34"/>
      <c r="I63" s="31"/>
      <c r="J63" s="31"/>
      <c r="K63" s="31"/>
    </row>
    <row r="64" spans="1:11" s="6" customFormat="1" ht="20.100000000000001" customHeight="1" x14ac:dyDescent="0.2">
      <c r="A64" s="191" t="s">
        <v>109</v>
      </c>
      <c r="B64" s="192"/>
      <c r="C64" s="80">
        <f>ROUND(+C59+2000,0)</f>
        <v>10050</v>
      </c>
      <c r="D64" s="144"/>
      <c r="E64" s="180"/>
      <c r="F64" s="197"/>
      <c r="G64" s="5"/>
      <c r="I64" s="31"/>
      <c r="J64" s="31"/>
      <c r="K64" s="31"/>
    </row>
    <row r="65" spans="1:11" s="6" customFormat="1" ht="20.100000000000001" customHeight="1" x14ac:dyDescent="0.2">
      <c r="A65" s="191" t="s">
        <v>110</v>
      </c>
      <c r="B65" s="192"/>
      <c r="C65" s="80">
        <f>+C62+C60</f>
        <v>118300</v>
      </c>
      <c r="D65" s="144"/>
      <c r="E65" s="180"/>
      <c r="F65" s="197"/>
      <c r="G65" s="5"/>
      <c r="I65" s="31"/>
      <c r="J65" s="31"/>
      <c r="K65" s="31"/>
    </row>
    <row r="66" spans="1:11" s="6" customFormat="1" ht="20.100000000000001" customHeight="1" x14ac:dyDescent="0.2">
      <c r="A66" s="191" t="s">
        <v>111</v>
      </c>
      <c r="B66" s="192"/>
      <c r="C66" s="80">
        <f>ROUND(F54/125,0)</f>
        <v>112000</v>
      </c>
      <c r="D66" s="144"/>
      <c r="E66" s="180"/>
      <c r="F66" s="197"/>
      <c r="G66" s="5"/>
      <c r="I66" s="31"/>
      <c r="J66" s="31"/>
      <c r="K66" s="31"/>
    </row>
    <row r="67" spans="1:11" s="6" customFormat="1" ht="20.100000000000001" customHeight="1" x14ac:dyDescent="0.2">
      <c r="A67" s="191" t="s">
        <v>208</v>
      </c>
      <c r="B67" s="192"/>
      <c r="C67" s="80">
        <f>ROUND(C66*2.25,0)</f>
        <v>252000</v>
      </c>
      <c r="D67" s="144"/>
      <c r="E67" s="181"/>
      <c r="F67" s="197"/>
      <c r="G67" s="34"/>
      <c r="I67" s="31"/>
      <c r="J67" s="31"/>
      <c r="K67" s="31"/>
    </row>
    <row r="68" spans="1:11" s="6" customFormat="1" ht="20.100000000000001" customHeight="1" x14ac:dyDescent="0.2">
      <c r="A68" s="191" t="s">
        <v>114</v>
      </c>
      <c r="B68" s="192"/>
      <c r="C68" s="80">
        <f>ROUND(+C62/2,0)</f>
        <v>35000</v>
      </c>
      <c r="D68" s="144"/>
      <c r="E68" s="180"/>
      <c r="F68" s="197"/>
      <c r="G68" s="5"/>
      <c r="I68" s="31"/>
      <c r="J68" s="31"/>
      <c r="K68" s="31"/>
    </row>
    <row r="69" spans="1:11" s="6" customFormat="1" ht="20.100000000000001" customHeight="1" x14ac:dyDescent="0.2">
      <c r="A69" s="191" t="s">
        <v>209</v>
      </c>
      <c r="B69" s="192"/>
      <c r="C69" s="80">
        <f>C68+C66</f>
        <v>147000</v>
      </c>
      <c r="D69" s="144"/>
      <c r="E69" s="180"/>
      <c r="F69" s="197"/>
      <c r="G69" s="5"/>
      <c r="I69" s="31"/>
      <c r="J69" s="31"/>
      <c r="K69" s="31"/>
    </row>
    <row r="70" spans="1:11" s="6" customFormat="1" ht="20.100000000000001" customHeight="1" x14ac:dyDescent="0.2">
      <c r="A70" s="191" t="s">
        <v>116</v>
      </c>
      <c r="B70" s="192"/>
      <c r="C70" s="80">
        <f>ROUND(F55*0.4,0)</f>
        <v>56000</v>
      </c>
      <c r="D70" s="144"/>
      <c r="E70" s="181"/>
      <c r="F70" s="197"/>
      <c r="G70" s="34"/>
      <c r="I70" s="31"/>
      <c r="J70" s="31"/>
      <c r="K70" s="31"/>
    </row>
    <row r="71" spans="1:11" s="6" customFormat="1" ht="20.100000000000001" customHeight="1" x14ac:dyDescent="0.2">
      <c r="A71" s="191" t="s">
        <v>118</v>
      </c>
      <c r="B71" s="192"/>
      <c r="C71" s="80">
        <f>ROUND(C63*0.015,0)</f>
        <v>31500</v>
      </c>
      <c r="D71" s="144"/>
      <c r="E71" s="180"/>
      <c r="F71" s="197"/>
      <c r="G71" s="5"/>
      <c r="I71" s="31"/>
      <c r="J71" s="31"/>
      <c r="K71" s="31"/>
    </row>
    <row r="72" spans="1:11" s="6" customFormat="1" ht="20.100000000000001" customHeight="1" x14ac:dyDescent="0.2">
      <c r="A72" s="191" t="s">
        <v>119</v>
      </c>
      <c r="B72" s="192"/>
      <c r="C72" s="80">
        <f>ROUND(F54*0.016,0)</f>
        <v>224000</v>
      </c>
      <c r="D72" s="144"/>
      <c r="E72" s="181"/>
      <c r="F72" s="197"/>
      <c r="G72" s="34"/>
      <c r="I72" s="31"/>
      <c r="J72" s="31"/>
      <c r="K72" s="31"/>
    </row>
    <row r="73" spans="1:11" s="6" customFormat="1" ht="20.100000000000001" customHeight="1" x14ac:dyDescent="0.2">
      <c r="A73" s="191" t="s">
        <v>122</v>
      </c>
      <c r="B73" s="192"/>
      <c r="C73" s="80">
        <f>ROUND(F54*0.0015,0)</f>
        <v>21000</v>
      </c>
      <c r="D73" s="144"/>
      <c r="E73" s="180"/>
      <c r="F73" s="197"/>
      <c r="G73" s="5"/>
      <c r="I73" s="31"/>
      <c r="J73" s="31"/>
      <c r="K73" s="31"/>
    </row>
    <row r="74" spans="1:11" s="6" customFormat="1" ht="20.100000000000001" customHeight="1" x14ac:dyDescent="0.2">
      <c r="A74" s="191" t="s">
        <v>123</v>
      </c>
      <c r="B74" s="192"/>
      <c r="C74" s="80">
        <f>ROUND(E92*0.18+F92*0.25,0)</f>
        <v>301455</v>
      </c>
      <c r="D74" s="144"/>
      <c r="E74" s="181"/>
      <c r="F74" s="197"/>
      <c r="G74" s="34"/>
      <c r="I74" s="31"/>
      <c r="J74" s="31"/>
      <c r="K74" s="31"/>
    </row>
    <row r="75" spans="1:11" s="6" customFormat="1" ht="20.100000000000001" customHeight="1" x14ac:dyDescent="0.2">
      <c r="A75" s="191" t="s">
        <v>354</v>
      </c>
      <c r="B75" s="192"/>
      <c r="C75" s="80">
        <f>(C97+C98+C99)*0.1</f>
        <v>400000</v>
      </c>
      <c r="D75" s="144"/>
      <c r="E75" s="181"/>
      <c r="F75" s="197"/>
      <c r="G75" s="34"/>
      <c r="I75" s="31"/>
      <c r="J75" s="31"/>
      <c r="K75" s="31"/>
    </row>
    <row r="76" spans="1:11" s="6" customFormat="1" ht="25.5" customHeight="1" x14ac:dyDescent="0.2">
      <c r="A76" s="618" t="s">
        <v>355</v>
      </c>
      <c r="B76" s="619"/>
      <c r="C76" s="80">
        <f>25000*12*3</f>
        <v>900000</v>
      </c>
      <c r="D76" s="144"/>
      <c r="E76" s="181"/>
      <c r="F76" s="197"/>
      <c r="G76" s="34"/>
      <c r="I76" s="31"/>
      <c r="J76" s="31"/>
      <c r="K76" s="31"/>
    </row>
    <row r="77" spans="1:11" s="6" customFormat="1" ht="20.100000000000001" customHeight="1" x14ac:dyDescent="0.2">
      <c r="A77" s="191" t="s">
        <v>125</v>
      </c>
      <c r="B77" s="192"/>
      <c r="C77" s="80">
        <f>F81+F84+F48+25000</f>
        <v>224000</v>
      </c>
      <c r="D77" s="144"/>
      <c r="E77" s="181"/>
      <c r="F77" s="197"/>
      <c r="G77" s="34"/>
      <c r="I77" s="31"/>
      <c r="J77" s="31"/>
      <c r="K77" s="31"/>
    </row>
    <row r="78" spans="1:11" s="6" customFormat="1" ht="20.100000000000001" customHeight="1" x14ac:dyDescent="0.2">
      <c r="A78" s="198" t="s">
        <v>126</v>
      </c>
      <c r="B78" s="199"/>
      <c r="C78" s="200">
        <f>F79-SUM(C54:C77)</f>
        <v>1500170</v>
      </c>
      <c r="D78" s="144"/>
      <c r="E78" s="201" t="s">
        <v>298</v>
      </c>
      <c r="F78" s="202"/>
      <c r="G78" s="27"/>
      <c r="I78" s="31"/>
      <c r="J78" s="31"/>
      <c r="K78" s="31"/>
    </row>
    <row r="79" spans="1:11" s="6" customFormat="1" ht="20.100000000000001" customHeight="1" thickBot="1" x14ac:dyDescent="0.3">
      <c r="A79" s="203"/>
      <c r="B79" s="204"/>
      <c r="C79" s="205">
        <f>+F79</f>
        <v>15729000</v>
      </c>
      <c r="D79" s="204"/>
      <c r="E79" s="206"/>
      <c r="F79" s="205">
        <f>SUM(F54:F70)</f>
        <v>15729000</v>
      </c>
      <c r="G79" s="27"/>
      <c r="I79" s="31"/>
      <c r="J79" s="31"/>
      <c r="K79" s="31"/>
    </row>
    <row r="80" spans="1:11" s="6" customFormat="1" ht="26.25" customHeight="1" thickTop="1" x14ac:dyDescent="0.25">
      <c r="A80" s="174" t="s">
        <v>134</v>
      </c>
      <c r="B80" s="162"/>
      <c r="C80" s="162"/>
      <c r="D80" s="162"/>
      <c r="E80" s="162"/>
      <c r="F80" s="162"/>
      <c r="I80" s="31"/>
      <c r="J80" s="31"/>
      <c r="K80" s="31"/>
    </row>
    <row r="81" spans="1:11" s="6" customFormat="1" ht="20.100000000000001" customHeight="1" x14ac:dyDescent="0.2">
      <c r="A81" s="161" t="s">
        <v>375</v>
      </c>
      <c r="B81" s="161"/>
      <c r="C81" s="161"/>
      <c r="D81" s="161"/>
      <c r="E81" s="161"/>
      <c r="F81" s="207">
        <f>ROUND(+C73*2,0)</f>
        <v>42000</v>
      </c>
      <c r="I81" s="31"/>
      <c r="J81" s="31"/>
      <c r="K81" s="31"/>
    </row>
    <row r="82" spans="1:11" s="6" customFormat="1" ht="20.100000000000001" hidden="1" customHeight="1" x14ac:dyDescent="0.2">
      <c r="A82" s="228" t="s">
        <v>268</v>
      </c>
      <c r="B82" s="228"/>
      <c r="C82" s="228"/>
      <c r="D82" s="228"/>
      <c r="E82" s="229">
        <f>+D40</f>
        <v>42370</v>
      </c>
      <c r="F82" s="230">
        <v>0</v>
      </c>
      <c r="G82" s="226"/>
      <c r="I82" s="31"/>
      <c r="J82" s="31"/>
      <c r="K82" s="31"/>
    </row>
    <row r="83" spans="1:11" s="6" customFormat="1" ht="20.100000000000001" customHeight="1" x14ac:dyDescent="0.2">
      <c r="A83" s="161" t="s">
        <v>376</v>
      </c>
      <c r="B83" s="161"/>
      <c r="C83" s="161"/>
      <c r="D83" s="161"/>
      <c r="E83" s="161"/>
      <c r="F83" s="207">
        <f>+C73</f>
        <v>21000</v>
      </c>
      <c r="I83" s="31"/>
      <c r="J83" s="31"/>
      <c r="K83" s="31"/>
    </row>
    <row r="84" spans="1:11" s="6" customFormat="1" ht="20.100000000000001" customHeight="1" x14ac:dyDescent="0.2">
      <c r="A84" s="161" t="s">
        <v>377</v>
      </c>
      <c r="B84" s="161"/>
      <c r="C84" s="161"/>
      <c r="D84" s="161"/>
      <c r="E84" s="161"/>
      <c r="F84" s="207">
        <f>+F50+F51</f>
        <v>77000</v>
      </c>
      <c r="I84" s="31"/>
      <c r="J84" s="31"/>
      <c r="K84" s="31"/>
    </row>
    <row r="85" spans="1:11" s="6" customFormat="1" ht="30.75" customHeight="1" x14ac:dyDescent="0.2">
      <c r="A85" s="606" t="s">
        <v>378</v>
      </c>
      <c r="B85" s="606"/>
      <c r="C85" s="606"/>
      <c r="D85" s="606"/>
      <c r="E85" s="606"/>
      <c r="F85" s="208">
        <v>25000</v>
      </c>
      <c r="I85" s="5"/>
      <c r="J85" s="5"/>
      <c r="K85" s="31"/>
    </row>
    <row r="86" spans="1:11" s="6" customFormat="1" ht="20.100000000000001" customHeight="1" x14ac:dyDescent="0.2">
      <c r="A86" s="161" t="s">
        <v>379</v>
      </c>
      <c r="B86" s="161"/>
      <c r="C86" s="161"/>
      <c r="D86" s="161"/>
      <c r="E86" s="161"/>
      <c r="F86" s="162"/>
      <c r="I86" s="28">
        <v>0.15</v>
      </c>
      <c r="J86" s="28">
        <v>0.6</v>
      </c>
      <c r="K86" s="31"/>
    </row>
    <row r="87" spans="1:11" s="6" customFormat="1" ht="22.5" customHeight="1" x14ac:dyDescent="0.2">
      <c r="A87" s="209"/>
      <c r="B87" s="164"/>
      <c r="C87" s="164"/>
      <c r="D87" s="165"/>
      <c r="E87" s="210" t="s">
        <v>229</v>
      </c>
      <c r="F87" s="211" t="s">
        <v>218</v>
      </c>
      <c r="G87" s="34"/>
      <c r="I87" s="5" t="s">
        <v>262</v>
      </c>
      <c r="J87" s="5" t="s">
        <v>263</v>
      </c>
      <c r="K87" s="31"/>
    </row>
    <row r="88" spans="1:11" s="6" customFormat="1" ht="20.100000000000001" customHeight="1" x14ac:dyDescent="0.2">
      <c r="A88" s="212" t="s">
        <v>373</v>
      </c>
      <c r="B88" s="164"/>
      <c r="C88" s="165"/>
      <c r="D88" s="213">
        <v>42095</v>
      </c>
      <c r="E88" s="78">
        <v>1100000</v>
      </c>
      <c r="F88" s="78">
        <f>ROUND(E88*0.15,0)</f>
        <v>165000</v>
      </c>
      <c r="G88" s="34"/>
      <c r="H88" s="6" t="s">
        <v>264</v>
      </c>
      <c r="I88" s="31">
        <f>(E88+E89-E91)*I86</f>
        <v>188100</v>
      </c>
      <c r="J88" s="31">
        <f>(F88+F89-F91)*J86</f>
        <v>112860</v>
      </c>
      <c r="K88" s="31"/>
    </row>
    <row r="89" spans="1:11" s="6" customFormat="1" ht="20.100000000000001" customHeight="1" x14ac:dyDescent="0.2">
      <c r="A89" s="212" t="s">
        <v>220</v>
      </c>
      <c r="B89" s="164"/>
      <c r="C89" s="165"/>
      <c r="D89" s="213">
        <v>42120</v>
      </c>
      <c r="E89" s="78">
        <f>ROUND(E88*0.2,0)</f>
        <v>220000</v>
      </c>
      <c r="F89" s="78">
        <f>ROUND(F88*0.2,0)</f>
        <v>33000</v>
      </c>
      <c r="G89" s="34"/>
      <c r="H89" s="6" t="s">
        <v>265</v>
      </c>
      <c r="I89" s="31">
        <f>E90*I86/2</f>
        <v>9900</v>
      </c>
      <c r="J89" s="31">
        <f>F90*J86/2</f>
        <v>5940</v>
      </c>
      <c r="K89" s="31"/>
    </row>
    <row r="90" spans="1:11" s="6" customFormat="1" ht="20.100000000000001" customHeight="1" x14ac:dyDescent="0.2">
      <c r="A90" s="212" t="s">
        <v>220</v>
      </c>
      <c r="B90" s="164"/>
      <c r="C90" s="165"/>
      <c r="D90" s="213">
        <f>D89+175</f>
        <v>42295</v>
      </c>
      <c r="E90" s="78">
        <f>ROUND(E89*0.6,0)</f>
        <v>132000</v>
      </c>
      <c r="F90" s="78">
        <f>ROUND(F89*0.6,0)</f>
        <v>19800</v>
      </c>
      <c r="G90" s="34"/>
      <c r="H90" s="6" t="s">
        <v>266</v>
      </c>
      <c r="I90" s="31">
        <f>E90*0.2/2</f>
        <v>13200</v>
      </c>
      <c r="J90" s="31"/>
      <c r="K90" s="31"/>
    </row>
    <row r="91" spans="1:11" s="6" customFormat="1" ht="20.100000000000001" customHeight="1" thickBot="1" x14ac:dyDescent="0.3">
      <c r="A91" s="212" t="s">
        <v>221</v>
      </c>
      <c r="B91" s="164"/>
      <c r="C91" s="165"/>
      <c r="D91" s="213">
        <f>D89+35</f>
        <v>42155</v>
      </c>
      <c r="E91" s="78">
        <f>ROUND(E89*0.3,0)</f>
        <v>66000</v>
      </c>
      <c r="F91" s="78">
        <f>ROUND(F89*0.3,0)</f>
        <v>9900</v>
      </c>
      <c r="G91" s="34"/>
      <c r="I91" s="118">
        <f>SUM(I88:I90)</f>
        <v>211200</v>
      </c>
      <c r="J91" s="118">
        <f>SUM(J88:J90)</f>
        <v>118800</v>
      </c>
      <c r="K91" s="31"/>
    </row>
    <row r="92" spans="1:11" s="6" customFormat="1" ht="20.100000000000001" customHeight="1" thickTop="1" x14ac:dyDescent="0.2">
      <c r="A92" s="212" t="s">
        <v>222</v>
      </c>
      <c r="B92" s="164"/>
      <c r="C92" s="165"/>
      <c r="D92" s="213">
        <v>42460</v>
      </c>
      <c r="E92" s="80">
        <f>E88+E89+E90-E91</f>
        <v>1386000</v>
      </c>
      <c r="F92" s="80">
        <f>F88+F89+F90-F91</f>
        <v>207900</v>
      </c>
      <c r="G92" s="34"/>
      <c r="I92" s="31"/>
      <c r="J92" s="31"/>
      <c r="K92" s="31"/>
    </row>
    <row r="93" spans="1:11" s="6" customFormat="1" ht="33" customHeight="1" x14ac:dyDescent="0.2">
      <c r="A93" s="606" t="s">
        <v>380</v>
      </c>
      <c r="B93" s="606"/>
      <c r="C93" s="606"/>
      <c r="D93" s="606"/>
      <c r="E93" s="606"/>
      <c r="F93" s="606"/>
      <c r="I93" s="31"/>
      <c r="J93" s="31"/>
      <c r="K93" s="31"/>
    </row>
    <row r="94" spans="1:11" s="6" customFormat="1" ht="18.75" customHeight="1" x14ac:dyDescent="0.2">
      <c r="A94" s="220"/>
      <c r="B94" s="220"/>
      <c r="C94" s="220"/>
      <c r="D94" s="220"/>
      <c r="E94" s="220"/>
      <c r="F94" s="220"/>
      <c r="I94" s="31"/>
      <c r="J94" s="31"/>
      <c r="K94" s="31"/>
    </row>
    <row r="95" spans="1:11" s="6" customFormat="1" ht="18" customHeight="1" x14ac:dyDescent="0.2">
      <c r="A95" s="607" t="s">
        <v>230</v>
      </c>
      <c r="B95" s="607"/>
      <c r="C95" s="607"/>
      <c r="D95" s="607"/>
      <c r="E95" s="607"/>
      <c r="F95" s="607"/>
      <c r="I95" s="31"/>
      <c r="J95" s="31"/>
      <c r="K95" s="31"/>
    </row>
    <row r="96" spans="1:11" s="6" customFormat="1" ht="20.100000000000001" customHeight="1" x14ac:dyDescent="0.2">
      <c r="A96" s="212" t="s">
        <v>160</v>
      </c>
      <c r="B96" s="165"/>
      <c r="C96" s="80"/>
      <c r="D96" s="212" t="s">
        <v>164</v>
      </c>
      <c r="E96" s="165"/>
      <c r="F96" s="80">
        <f>+F57</f>
        <v>1428000</v>
      </c>
      <c r="I96" s="31"/>
      <c r="J96" s="31"/>
      <c r="K96" s="31"/>
    </row>
    <row r="97" spans="1:11" s="6" customFormat="1" ht="20.100000000000001" customHeight="1" x14ac:dyDescent="0.2">
      <c r="A97" s="214" t="str">
        <f>+D17</f>
        <v>Sunita Kaistha</v>
      </c>
      <c r="B97" s="144"/>
      <c r="C97" s="80">
        <v>1600000</v>
      </c>
      <c r="D97" s="212" t="s">
        <v>166</v>
      </c>
      <c r="E97" s="165"/>
      <c r="F97" s="80">
        <f>ROUND((C97+C98+C99)*1.75,0)</f>
        <v>7000000</v>
      </c>
      <c r="G97" s="34"/>
      <c r="I97" s="31"/>
      <c r="J97" s="31"/>
      <c r="K97" s="31"/>
    </row>
    <row r="98" spans="1:11" s="6" customFormat="1" ht="20.100000000000001" customHeight="1" x14ac:dyDescent="0.2">
      <c r="A98" s="214" t="str">
        <f>+E17</f>
        <v>Rewa Arora</v>
      </c>
      <c r="B98" s="144"/>
      <c r="C98" s="80">
        <f>C97/D19*E19</f>
        <v>1200000</v>
      </c>
      <c r="D98" s="212" t="s">
        <v>168</v>
      </c>
      <c r="E98" s="165"/>
      <c r="F98" s="80">
        <f>E92+F92</f>
        <v>1593900</v>
      </c>
      <c r="G98" s="34"/>
      <c r="I98" s="31"/>
      <c r="J98" s="31"/>
      <c r="K98" s="31"/>
    </row>
    <row r="99" spans="1:11" s="6" customFormat="1" ht="20.100000000000001" customHeight="1" x14ac:dyDescent="0.2">
      <c r="A99" s="214" t="str">
        <f>+F17</f>
        <v>Laxmi Rai</v>
      </c>
      <c r="B99" s="144"/>
      <c r="C99" s="80">
        <f>C97/D19*F19</f>
        <v>1200000</v>
      </c>
      <c r="D99" s="212" t="s">
        <v>170</v>
      </c>
      <c r="E99" s="165"/>
      <c r="F99" s="80">
        <f>C97+C98</f>
        <v>2800000</v>
      </c>
      <c r="G99" s="34"/>
      <c r="I99" s="31"/>
      <c r="J99" s="31"/>
      <c r="K99" s="31"/>
    </row>
    <row r="100" spans="1:11" s="6" customFormat="1" ht="20.100000000000001" customHeight="1" x14ac:dyDescent="0.2">
      <c r="A100" s="212" t="s">
        <v>176</v>
      </c>
      <c r="B100" s="165"/>
      <c r="C100" s="80">
        <f>C102-C97-C98-C99</f>
        <v>17908875</v>
      </c>
      <c r="D100" s="212" t="s">
        <v>172</v>
      </c>
      <c r="E100" s="165"/>
      <c r="F100" s="80">
        <f>F97+F96+25000</f>
        <v>8453000</v>
      </c>
      <c r="G100" s="5"/>
      <c r="I100" s="31"/>
      <c r="J100" s="31"/>
      <c r="K100" s="31"/>
    </row>
    <row r="101" spans="1:11" s="6" customFormat="1" ht="20.100000000000001" customHeight="1" x14ac:dyDescent="0.2">
      <c r="A101" s="215"/>
      <c r="B101" s="157"/>
      <c r="C101" s="80"/>
      <c r="D101" s="212" t="s">
        <v>174</v>
      </c>
      <c r="E101" s="165"/>
      <c r="F101" s="80">
        <f>ROUND(F100*0.075,0)</f>
        <v>633975</v>
      </c>
      <c r="I101" s="31"/>
      <c r="J101" s="31"/>
      <c r="K101" s="31"/>
    </row>
    <row r="102" spans="1:11" s="6" customFormat="1" ht="20.100000000000001" customHeight="1" thickBot="1" x14ac:dyDescent="0.3">
      <c r="A102" s="203"/>
      <c r="B102" s="204"/>
      <c r="C102" s="205">
        <f>+F102</f>
        <v>21908875</v>
      </c>
      <c r="D102" s="216"/>
      <c r="E102" s="217"/>
      <c r="F102" s="205">
        <f>SUM(F96:F101)</f>
        <v>21908875</v>
      </c>
      <c r="G102" s="5"/>
      <c r="I102" s="31"/>
      <c r="J102" s="31"/>
      <c r="K102" s="31"/>
    </row>
    <row r="103" spans="1:11" s="6" customFormat="1" ht="20.100000000000001" customHeight="1" thickTop="1" x14ac:dyDescent="0.2">
      <c r="A103" s="162"/>
      <c r="B103" s="162"/>
      <c r="C103" s="162"/>
      <c r="D103" s="162"/>
      <c r="E103" s="162"/>
      <c r="F103" s="162"/>
      <c r="I103" s="31"/>
      <c r="J103" s="31"/>
      <c r="K103" s="31"/>
    </row>
    <row r="104" spans="1:11" s="6" customFormat="1" ht="20.100000000000001" customHeight="1" x14ac:dyDescent="0.2">
      <c r="A104" s="161" t="s">
        <v>299</v>
      </c>
      <c r="B104" s="162"/>
      <c r="C104" s="162"/>
      <c r="D104" s="162"/>
      <c r="E104" s="162"/>
      <c r="F104" s="162"/>
      <c r="I104" s="31"/>
      <c r="J104" s="31"/>
      <c r="K104" s="31"/>
    </row>
    <row r="105" spans="1:11" s="6" customFormat="1" ht="20.100000000000001" customHeight="1" x14ac:dyDescent="0.2">
      <c r="A105" s="161" t="s">
        <v>300</v>
      </c>
      <c r="B105" s="162"/>
      <c r="C105" s="162"/>
      <c r="D105" s="162"/>
      <c r="E105" s="162"/>
      <c r="F105" s="162"/>
      <c r="I105" s="31"/>
      <c r="J105" s="31"/>
      <c r="K105" s="31"/>
    </row>
    <row r="106" spans="1:11" s="6" customFormat="1" ht="20.100000000000001" customHeight="1" x14ac:dyDescent="0.2">
      <c r="A106" s="162"/>
      <c r="B106" s="162"/>
      <c r="C106" s="162"/>
      <c r="D106" s="162"/>
      <c r="E106" s="162"/>
      <c r="F106" s="162"/>
      <c r="I106" s="31"/>
      <c r="J106" s="31"/>
      <c r="K106" s="31"/>
    </row>
    <row r="107" spans="1:11" s="6" customFormat="1" ht="20.100000000000001" customHeight="1" x14ac:dyDescent="0.2">
      <c r="A107" s="162"/>
      <c r="B107" s="162"/>
      <c r="C107" s="162"/>
      <c r="D107" s="162"/>
      <c r="E107" s="162"/>
      <c r="F107" s="162"/>
      <c r="I107" s="31"/>
      <c r="J107" s="31"/>
      <c r="K107" s="31"/>
    </row>
    <row r="108" spans="1:11" s="6" customFormat="1" ht="20.100000000000001" customHeight="1" x14ac:dyDescent="0.2">
      <c r="A108" s="162"/>
      <c r="B108" s="162"/>
      <c r="C108" s="162"/>
      <c r="D108" s="162"/>
      <c r="E108" s="162"/>
      <c r="F108" s="162"/>
      <c r="I108" s="31"/>
      <c r="J108" s="31"/>
      <c r="K108" s="31"/>
    </row>
    <row r="109" spans="1:11" s="6" customFormat="1" ht="20.100000000000001" customHeight="1" x14ac:dyDescent="0.2">
      <c r="A109" s="162"/>
      <c r="B109" s="162"/>
      <c r="C109" s="162"/>
      <c r="D109" s="162"/>
      <c r="E109" s="162"/>
      <c r="F109" s="162"/>
      <c r="I109" s="31"/>
      <c r="J109" s="31"/>
      <c r="K109" s="31"/>
    </row>
    <row r="110" spans="1:11" s="6" customFormat="1" ht="20.100000000000001" customHeight="1" x14ac:dyDescent="0.2">
      <c r="A110" s="162"/>
      <c r="B110" s="162"/>
      <c r="C110" s="162"/>
      <c r="D110" s="162"/>
      <c r="E110" s="162"/>
      <c r="F110" s="162"/>
      <c r="I110" s="31"/>
      <c r="J110" s="31"/>
      <c r="K110" s="31"/>
    </row>
    <row r="111" spans="1:11" s="6" customFormat="1" ht="20.100000000000001" customHeight="1" x14ac:dyDescent="0.2">
      <c r="A111" s="162"/>
      <c r="B111" s="162"/>
      <c r="C111" s="162"/>
      <c r="D111" s="162"/>
      <c r="E111" s="162"/>
      <c r="F111" s="162"/>
      <c r="I111" s="31"/>
      <c r="J111" s="31"/>
      <c r="K111" s="31"/>
    </row>
    <row r="112" spans="1:11" s="6" customFormat="1" ht="20.100000000000001" customHeight="1" x14ac:dyDescent="0.2">
      <c r="A112" s="162"/>
      <c r="B112" s="162"/>
      <c r="C112" s="162"/>
      <c r="D112" s="162"/>
      <c r="E112" s="162"/>
      <c r="F112" s="162"/>
      <c r="I112" s="31"/>
      <c r="J112" s="31"/>
      <c r="K112" s="31"/>
    </row>
    <row r="113" spans="1:11" s="6" customFormat="1" ht="20.100000000000001" customHeight="1" x14ac:dyDescent="0.2">
      <c r="A113" s="162"/>
      <c r="B113" s="162"/>
      <c r="C113" s="162"/>
      <c r="D113" s="162"/>
      <c r="E113" s="162"/>
      <c r="F113" s="162"/>
      <c r="I113" s="31"/>
      <c r="J113" s="31"/>
      <c r="K113" s="31"/>
    </row>
    <row r="114" spans="1:11" s="6" customFormat="1" ht="20.100000000000001" customHeight="1" x14ac:dyDescent="0.2">
      <c r="A114" s="162"/>
      <c r="B114" s="162"/>
      <c r="C114" s="162"/>
      <c r="D114" s="162"/>
      <c r="E114" s="162"/>
      <c r="F114" s="162"/>
      <c r="I114" s="31"/>
      <c r="J114" s="31"/>
      <c r="K114" s="31"/>
    </row>
    <row r="115" spans="1:11" s="6" customFormat="1" ht="20.100000000000001" customHeight="1" x14ac:dyDescent="0.2">
      <c r="A115" s="162"/>
      <c r="B115" s="162"/>
      <c r="C115" s="162"/>
      <c r="D115" s="162"/>
      <c r="E115" s="162"/>
      <c r="F115" s="162"/>
      <c r="I115" s="31"/>
      <c r="J115" s="31"/>
      <c r="K115" s="31"/>
    </row>
    <row r="116" spans="1:11" s="6" customFormat="1" ht="20.100000000000001" customHeight="1" x14ac:dyDescent="0.2">
      <c r="A116" s="161" t="s">
        <v>301</v>
      </c>
      <c r="B116" s="162"/>
      <c r="C116" s="162"/>
      <c r="D116" s="162"/>
      <c r="E116" s="162"/>
      <c r="F116" s="162"/>
      <c r="I116" s="31"/>
      <c r="J116" s="31"/>
      <c r="K116" s="31"/>
    </row>
    <row r="117" spans="1:11" s="6" customFormat="1" ht="20.100000000000001" customHeight="1" x14ac:dyDescent="0.2">
      <c r="A117" s="162"/>
      <c r="B117" s="162"/>
      <c r="C117" s="162"/>
      <c r="D117" s="162"/>
      <c r="E117" s="162"/>
      <c r="F117" s="162"/>
      <c r="I117" s="31"/>
      <c r="J117" s="31"/>
      <c r="K117" s="31"/>
    </row>
    <row r="118" spans="1:11" s="6" customFormat="1" ht="20.100000000000001" customHeight="1" x14ac:dyDescent="0.2">
      <c r="A118" s="162"/>
      <c r="B118" s="162"/>
      <c r="C118" s="162"/>
      <c r="D118" s="162"/>
      <c r="E118" s="162"/>
      <c r="F118" s="162"/>
      <c r="I118" s="31"/>
      <c r="J118" s="31"/>
      <c r="K118" s="31"/>
    </row>
    <row r="119" spans="1:11" s="6" customFormat="1" ht="20.100000000000001" customHeight="1" x14ac:dyDescent="0.2">
      <c r="A119" s="162"/>
      <c r="B119" s="162"/>
      <c r="C119" s="162"/>
      <c r="D119" s="162"/>
      <c r="E119" s="162"/>
      <c r="F119" s="162"/>
      <c r="I119" s="31"/>
      <c r="J119" s="31"/>
      <c r="K119" s="31"/>
    </row>
    <row r="120" spans="1:11" s="6" customFormat="1" ht="20.100000000000001" customHeight="1" x14ac:dyDescent="0.2">
      <c r="A120" s="162"/>
      <c r="B120" s="162"/>
      <c r="C120" s="162"/>
      <c r="D120" s="162"/>
      <c r="E120" s="162"/>
      <c r="F120" s="162"/>
      <c r="I120" s="31"/>
      <c r="J120" s="31"/>
      <c r="K120" s="31"/>
    </row>
    <row r="121" spans="1:11" s="6" customFormat="1" ht="20.100000000000001" customHeight="1" x14ac:dyDescent="0.2">
      <c r="A121" s="162"/>
      <c r="B121" s="162"/>
      <c r="C121" s="162"/>
      <c r="D121" s="162"/>
      <c r="E121" s="162"/>
      <c r="F121" s="162"/>
      <c r="I121" s="31"/>
      <c r="J121" s="31"/>
      <c r="K121" s="31"/>
    </row>
    <row r="122" spans="1:11" s="6" customFormat="1" ht="20.100000000000001" customHeight="1" x14ac:dyDescent="0.2">
      <c r="A122" s="162"/>
      <c r="B122" s="162"/>
      <c r="C122" s="162"/>
      <c r="D122" s="162"/>
      <c r="E122" s="162"/>
      <c r="F122" s="162"/>
      <c r="I122" s="31"/>
      <c r="J122" s="31"/>
      <c r="K122" s="31"/>
    </row>
    <row r="123" spans="1:11" s="6" customFormat="1" ht="20.100000000000001" customHeight="1" x14ac:dyDescent="0.2">
      <c r="A123" s="162"/>
      <c r="B123" s="162"/>
      <c r="C123" s="162"/>
      <c r="D123" s="162"/>
      <c r="E123" s="162"/>
      <c r="F123" s="162"/>
      <c r="I123" s="31"/>
      <c r="J123" s="31"/>
      <c r="K123" s="31"/>
    </row>
    <row r="124" spans="1:11" s="6" customFormat="1" ht="20.100000000000001" customHeight="1" x14ac:dyDescent="0.2">
      <c r="A124" s="162"/>
      <c r="B124" s="162"/>
      <c r="C124" s="162"/>
      <c r="D124" s="162"/>
      <c r="E124" s="162"/>
      <c r="F124" s="162"/>
      <c r="I124" s="31"/>
      <c r="J124" s="31"/>
      <c r="K124" s="31"/>
    </row>
    <row r="125" spans="1:11" s="6" customFormat="1" ht="20.100000000000001" customHeight="1" x14ac:dyDescent="0.2">
      <c r="A125" s="162"/>
      <c r="B125" s="162"/>
      <c r="C125" s="162"/>
      <c r="D125" s="162"/>
      <c r="E125" s="162"/>
      <c r="F125" s="162"/>
      <c r="I125" s="31"/>
      <c r="J125" s="31"/>
      <c r="K125" s="31"/>
    </row>
    <row r="126" spans="1:11" s="6" customFormat="1" ht="20.100000000000001" customHeight="1" x14ac:dyDescent="0.2">
      <c r="A126" s="162"/>
      <c r="B126" s="162"/>
      <c r="C126" s="162"/>
      <c r="D126" s="162"/>
      <c r="E126" s="162"/>
      <c r="F126" s="162"/>
      <c r="I126" s="31"/>
      <c r="J126" s="31"/>
      <c r="K126" s="31"/>
    </row>
    <row r="127" spans="1:11" s="6" customFormat="1" ht="20.100000000000001" customHeight="1" x14ac:dyDescent="0.2">
      <c r="A127" s="162"/>
      <c r="B127" s="162"/>
      <c r="C127" s="162"/>
      <c r="D127" s="162"/>
      <c r="E127" s="162"/>
      <c r="F127" s="162"/>
      <c r="I127" s="31"/>
      <c r="J127" s="31"/>
      <c r="K127" s="31"/>
    </row>
    <row r="128" spans="1:11" s="6" customFormat="1" ht="20.100000000000001" customHeight="1" x14ac:dyDescent="0.2">
      <c r="A128" s="162"/>
      <c r="B128" s="162"/>
      <c r="C128" s="162"/>
      <c r="D128" s="162"/>
      <c r="E128" s="162"/>
      <c r="F128" s="162"/>
      <c r="I128" s="31"/>
      <c r="J128" s="31"/>
      <c r="K128" s="31"/>
    </row>
    <row r="129" spans="1:11" s="6" customFormat="1" ht="20.100000000000001" customHeight="1" x14ac:dyDescent="0.2">
      <c r="A129" s="162"/>
      <c r="B129" s="162"/>
      <c r="C129" s="162"/>
      <c r="D129" s="162"/>
      <c r="E129" s="162"/>
      <c r="F129" s="162"/>
      <c r="I129" s="31"/>
      <c r="J129" s="31"/>
      <c r="K129" s="31"/>
    </row>
    <row r="130" spans="1:11" s="6" customFormat="1" ht="20.100000000000001" customHeight="1" x14ac:dyDescent="0.2">
      <c r="A130" s="162"/>
      <c r="B130" s="162"/>
      <c r="C130" s="162"/>
      <c r="D130" s="162"/>
      <c r="E130" s="162"/>
      <c r="F130" s="162"/>
      <c r="I130" s="31"/>
      <c r="J130" s="31"/>
      <c r="K130" s="31"/>
    </row>
    <row r="131" spans="1:11" s="6" customFormat="1" ht="20.100000000000001" customHeight="1" x14ac:dyDescent="0.2">
      <c r="A131" s="162"/>
      <c r="B131" s="162"/>
      <c r="C131" s="162"/>
      <c r="D131" s="162"/>
      <c r="E131" s="162"/>
      <c r="F131" s="162"/>
      <c r="I131" s="31"/>
      <c r="J131" s="31"/>
      <c r="K131" s="31"/>
    </row>
    <row r="132" spans="1:11" s="6" customFormat="1" ht="20.100000000000001" customHeight="1" x14ac:dyDescent="0.2">
      <c r="A132" s="162"/>
      <c r="B132" s="162"/>
      <c r="C132" s="162"/>
      <c r="D132" s="162"/>
      <c r="E132" s="162"/>
      <c r="F132" s="162"/>
      <c r="I132" s="31"/>
      <c r="J132" s="31"/>
      <c r="K132" s="31"/>
    </row>
    <row r="133" spans="1:11" s="6" customFormat="1" ht="20.100000000000001" customHeight="1" x14ac:dyDescent="0.2">
      <c r="A133" s="162"/>
      <c r="B133" s="162"/>
      <c r="C133" s="162"/>
      <c r="D133" s="162"/>
      <c r="E133" s="162"/>
      <c r="F133" s="162"/>
      <c r="I133" s="31"/>
      <c r="J133" s="31"/>
      <c r="K133" s="31"/>
    </row>
    <row r="134" spans="1:11" s="6" customFormat="1" ht="20.100000000000001" customHeight="1" x14ac:dyDescent="0.2">
      <c r="A134" s="162"/>
      <c r="B134" s="162"/>
      <c r="C134" s="162"/>
      <c r="D134" s="162"/>
      <c r="E134" s="162"/>
      <c r="F134" s="162"/>
      <c r="I134" s="31"/>
      <c r="J134" s="31"/>
      <c r="K134" s="31"/>
    </row>
    <row r="135" spans="1:11" s="6" customFormat="1" ht="20.100000000000001" customHeight="1" x14ac:dyDescent="0.2">
      <c r="A135" s="162"/>
      <c r="B135" s="162"/>
      <c r="C135" s="162"/>
      <c r="D135" s="162"/>
      <c r="E135" s="162"/>
      <c r="F135" s="162"/>
      <c r="I135" s="31"/>
      <c r="J135" s="31"/>
      <c r="K135" s="31"/>
    </row>
    <row r="136" spans="1:11" s="6" customFormat="1" ht="20.100000000000001" customHeight="1" x14ac:dyDescent="0.2">
      <c r="A136" s="162"/>
      <c r="B136" s="162"/>
      <c r="C136" s="162"/>
      <c r="D136" s="162"/>
      <c r="E136" s="162"/>
      <c r="F136" s="162"/>
      <c r="I136" s="31"/>
      <c r="J136" s="31"/>
      <c r="K136" s="31"/>
    </row>
    <row r="137" spans="1:11" s="6" customFormat="1" ht="20.100000000000001" customHeight="1" x14ac:dyDescent="0.2">
      <c r="A137" s="162"/>
      <c r="B137" s="162"/>
      <c r="C137" s="162"/>
      <c r="D137" s="162"/>
      <c r="E137" s="162"/>
      <c r="F137" s="162"/>
      <c r="I137" s="31"/>
      <c r="J137" s="31"/>
      <c r="K137" s="31"/>
    </row>
    <row r="138" spans="1:11" s="6" customFormat="1" ht="20.100000000000001" customHeight="1" x14ac:dyDescent="0.2">
      <c r="A138" s="162"/>
      <c r="B138" s="162"/>
      <c r="C138" s="162"/>
      <c r="D138" s="162"/>
      <c r="E138" s="162"/>
      <c r="F138" s="162"/>
      <c r="I138" s="31"/>
      <c r="J138" s="31"/>
      <c r="K138" s="31"/>
    </row>
    <row r="139" spans="1:11" s="6" customFormat="1" ht="20.100000000000001" customHeight="1" x14ac:dyDescent="0.2">
      <c r="A139" s="162"/>
      <c r="B139" s="162"/>
      <c r="C139" s="162"/>
      <c r="D139" s="162"/>
      <c r="E139" s="162"/>
      <c r="F139" s="162"/>
      <c r="I139" s="31"/>
      <c r="J139" s="31"/>
      <c r="K139" s="31"/>
    </row>
    <row r="140" spans="1:11" s="6" customFormat="1" ht="20.100000000000001" customHeight="1" x14ac:dyDescent="0.2">
      <c r="A140" s="162"/>
      <c r="B140" s="162"/>
      <c r="C140" s="162"/>
      <c r="D140" s="162"/>
      <c r="E140" s="162"/>
      <c r="F140" s="162"/>
      <c r="I140" s="31"/>
      <c r="J140" s="31"/>
      <c r="K140" s="31"/>
    </row>
    <row r="141" spans="1:11" s="6" customFormat="1" ht="20.100000000000001" customHeight="1" x14ac:dyDescent="0.2">
      <c r="A141" s="162"/>
      <c r="B141" s="162"/>
      <c r="C141" s="162"/>
      <c r="D141" s="162"/>
      <c r="E141" s="162"/>
      <c r="F141" s="162"/>
      <c r="I141" s="31"/>
      <c r="J141" s="31"/>
      <c r="K141" s="31"/>
    </row>
    <row r="142" spans="1:11" s="6" customFormat="1" ht="20.100000000000001" customHeight="1" x14ac:dyDescent="0.2">
      <c r="A142" s="162"/>
      <c r="B142" s="162"/>
      <c r="C142" s="162"/>
      <c r="D142" s="162"/>
      <c r="E142" s="162"/>
      <c r="F142" s="162"/>
      <c r="I142" s="31"/>
      <c r="J142" s="31"/>
      <c r="K142" s="31"/>
    </row>
    <row r="143" spans="1:11" s="6" customFormat="1" ht="20.100000000000001" customHeight="1" x14ac:dyDescent="0.2">
      <c r="A143" s="162"/>
      <c r="B143" s="162"/>
      <c r="C143" s="162"/>
      <c r="D143" s="162"/>
      <c r="E143" s="162"/>
      <c r="F143" s="162"/>
      <c r="I143" s="31"/>
      <c r="J143" s="31"/>
      <c r="K143" s="31"/>
    </row>
    <row r="144" spans="1:11" s="6" customFormat="1" ht="20.100000000000001" customHeight="1" x14ac:dyDescent="0.2">
      <c r="A144" s="162"/>
      <c r="B144" s="162"/>
      <c r="C144" s="162"/>
      <c r="D144" s="162"/>
      <c r="E144" s="162"/>
      <c r="F144" s="162"/>
      <c r="I144" s="31"/>
      <c r="J144" s="31"/>
      <c r="K144" s="31"/>
    </row>
  </sheetData>
  <mergeCells count="25">
    <mergeCell ref="A1:F1"/>
    <mergeCell ref="A2:F2"/>
    <mergeCell ref="D14:F14"/>
    <mergeCell ref="H20:I20"/>
    <mergeCell ref="C25:D25"/>
    <mergeCell ref="E25:F25"/>
    <mergeCell ref="A34:F34"/>
    <mergeCell ref="A26:B26"/>
    <mergeCell ref="C26:D26"/>
    <mergeCell ref="E26:F26"/>
    <mergeCell ref="A27:B27"/>
    <mergeCell ref="C27:D27"/>
    <mergeCell ref="E27:F27"/>
    <mergeCell ref="A28:B28"/>
    <mergeCell ref="C28:D28"/>
    <mergeCell ref="E28:F28"/>
    <mergeCell ref="C29:D29"/>
    <mergeCell ref="E29:F29"/>
    <mergeCell ref="A95:F95"/>
    <mergeCell ref="A46:E46"/>
    <mergeCell ref="A52:F52"/>
    <mergeCell ref="A53:F53"/>
    <mergeCell ref="A76:B76"/>
    <mergeCell ref="A85:E85"/>
    <mergeCell ref="A93:F93"/>
  </mergeCells>
  <printOptions horizontalCentered="1"/>
  <pageMargins left="0.19685039370078741" right="0.19685039370078741" top="0.19685039370078741" bottom="0.19685039370078741" header="0" footer="0"/>
  <pageSetup paperSize="9" orientation="portrait" r:id="rId1"/>
  <rowBreaks count="1" manualBreakCount="1">
    <brk id="3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Sheet1 (2)</vt:lpstr>
      <vt:lpstr>DU-7 (2)</vt:lpstr>
      <vt:lpstr>DU-5 (2)</vt:lpstr>
      <vt:lpstr>DU-3 (2)</vt:lpstr>
      <vt:lpstr>ITR-501</vt:lpstr>
      <vt:lpstr>ITR-502</vt:lpstr>
      <vt:lpstr>ITR-503</vt:lpstr>
      <vt:lpstr>DU-1 (2)</vt:lpstr>
      <vt:lpstr>DU-3-Ex</vt:lpstr>
      <vt:lpstr>'DU-1 (2)'!Print_Area</vt:lpstr>
      <vt:lpstr>'DU-3 (2)'!Print_Area</vt:lpstr>
      <vt:lpstr>'DU-3-Ex'!Print_Area</vt:lpstr>
      <vt:lpstr>'DU-5 (2)'!Print_Area</vt:lpstr>
      <vt:lpstr>'DU-7 (2)'!Print_Area</vt:lpstr>
      <vt:lpstr>'ITR-501'!Print_Area</vt:lpstr>
      <vt:lpstr>'ITR-502'!Print_Area</vt:lpstr>
      <vt:lpstr>'ITR-503'!Print_Area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mohd shah</dc:creator>
  <cp:lastModifiedBy>Rathore</cp:lastModifiedBy>
  <cp:lastPrinted>2020-01-30T12:55:25Z</cp:lastPrinted>
  <dcterms:created xsi:type="dcterms:W3CDTF">2017-04-18T10:28:51Z</dcterms:created>
  <dcterms:modified xsi:type="dcterms:W3CDTF">2021-01-03T01:01:16Z</dcterms:modified>
</cp:coreProperties>
</file>