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4923108B-433D-4034-90EE-C555A9A161A3}" xr6:coauthVersionLast="47" xr6:coauthVersionMax="47" xr10:uidLastSave="{00000000-0000-0000-0000-000000000000}"/>
  <bookViews>
    <workbookView xWindow="-108" yWindow="-108" windowWidth="23256" windowHeight="12720" xr2:uid="{C0840A92-F7FD-4FC7-B844-1C031D594846}"/>
  </bookViews>
  <sheets>
    <sheet name="2" sheetId="1" r:id="rId1"/>
  </sheets>
  <externalReferences>
    <externalReference r:id="rId2"/>
  </externalReferences>
  <definedNames>
    <definedName name="newbasicPB4">[1]Sheet1!$T$4:$T$37</definedName>
    <definedName name="oldbasicPB4">[1]Sheet1!$S$4:$S$37</definedName>
    <definedName name="_xlnm.Print_Area" localSheetId="0">'2'!$A$1:$I$49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38" i="1" l="1"/>
  <c r="D134" i="1"/>
  <c r="D140" i="1" s="1"/>
  <c r="K98" i="1"/>
  <c r="E98" i="1"/>
  <c r="K97" i="1"/>
  <c r="K88" i="1"/>
  <c r="K87" i="1"/>
  <c r="E87" i="1"/>
  <c r="K86" i="1"/>
  <c r="C77" i="1"/>
  <c r="E85" i="1" s="1"/>
  <c r="C74" i="1"/>
  <c r="E63" i="1"/>
  <c r="E57" i="1"/>
  <c r="G45" i="1"/>
  <c r="H46" i="1" s="1"/>
  <c r="L41" i="1"/>
  <c r="M32" i="1"/>
  <c r="M31" i="1"/>
  <c r="H29" i="1"/>
  <c r="G27" i="1"/>
  <c r="G26" i="1"/>
  <c r="L46" i="1" s="1"/>
  <c r="G22" i="1"/>
  <c r="G21" i="1"/>
  <c r="H22" i="1" s="1"/>
  <c r="H56" i="1" s="1"/>
  <c r="G20" i="1"/>
  <c r="H18" i="1"/>
  <c r="H15" i="1"/>
  <c r="L45" i="1" s="1"/>
  <c r="M10" i="1"/>
  <c r="L10" i="1"/>
  <c r="G4" i="1" s="1"/>
  <c r="G7" i="1" s="1"/>
  <c r="G8" i="1"/>
  <c r="G5" i="1"/>
  <c r="I2" i="1"/>
  <c r="K1" i="1"/>
  <c r="G9" i="1" l="1"/>
  <c r="H10" i="1" s="1"/>
  <c r="H54" i="1"/>
  <c r="H57" i="1" s="1"/>
  <c r="H59" i="1" s="1"/>
  <c r="E68" i="1"/>
  <c r="H60" i="1" l="1"/>
  <c r="H61" i="1" s="1"/>
  <c r="E81" i="1"/>
  <c r="E94" i="1"/>
  <c r="L44" i="1"/>
  <c r="M46" i="1" s="1"/>
  <c r="M47" i="1" s="1"/>
  <c r="H24" i="1"/>
  <c r="E30" i="1" s="1"/>
  <c r="H30" i="1" s="1"/>
  <c r="H62" i="1" l="1"/>
  <c r="H63" i="1"/>
  <c r="M48" i="1"/>
  <c r="M49" i="1" s="1"/>
  <c r="E32" i="1"/>
  <c r="G32" i="1" s="1"/>
  <c r="H33" i="1" s="1"/>
  <c r="H34" i="1" s="1"/>
  <c r="M33" i="1"/>
  <c r="M34" i="1" s="1"/>
  <c r="H35" i="1" l="1"/>
  <c r="M50" i="1"/>
  <c r="H36" i="1" l="1"/>
  <c r="H37" i="1" s="1"/>
  <c r="E67" i="1" l="1"/>
  <c r="E80" i="1" l="1"/>
  <c r="E82" i="1" s="1"/>
  <c r="E69" i="1"/>
  <c r="E70" i="1" s="1"/>
  <c r="E93" i="1"/>
  <c r="E74" i="1" l="1"/>
  <c r="F74" i="1" s="1"/>
  <c r="G74" i="1" s="1"/>
  <c r="H74" i="1" s="1"/>
  <c r="E73" i="1"/>
  <c r="F73" i="1" s="1"/>
  <c r="G73" i="1" s="1"/>
  <c r="H73" i="1" s="1"/>
  <c r="E72" i="1"/>
  <c r="F72" i="1" s="1"/>
  <c r="G72" i="1" s="1"/>
  <c r="H72" i="1" s="1"/>
  <c r="H77" i="1" s="1"/>
  <c r="E75" i="1"/>
  <c r="F75" i="1" s="1"/>
  <c r="G75" i="1" s="1"/>
  <c r="H75" i="1" s="1"/>
  <c r="E84" i="1"/>
  <c r="E86" i="1"/>
  <c r="E96" i="1" l="1"/>
  <c r="F86" i="1"/>
  <c r="H80" i="1" s="1"/>
  <c r="E97" i="1" l="1"/>
  <c r="E99" i="1"/>
  <c r="E100" i="1" s="1"/>
  <c r="H94" i="1" s="1"/>
  <c r="E88" i="1"/>
  <c r="E89" i="1" s="1"/>
  <c r="E90" i="1" s="1"/>
  <c r="F90" i="1" s="1"/>
  <c r="H81" i="1" s="1"/>
  <c r="H95" i="1" l="1"/>
  <c r="H96" i="1" s="1"/>
  <c r="H83" i="1"/>
  <c r="H82" i="1"/>
  <c r="H84" i="1"/>
  <c r="H85" i="1" s="1"/>
  <c r="H86" i="1" s="1"/>
  <c r="H89" i="1"/>
  <c r="H99" i="1" l="1"/>
  <c r="H65" i="1" s="1"/>
  <c r="H38" i="1" s="1"/>
  <c r="H40" i="1" s="1"/>
  <c r="H47" i="1" s="1"/>
  <c r="B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3D0FDF61-A416-424E-86D2-67A28A4C854F}">
      <text>
        <r>
          <rPr>
            <b/>
            <sz val="8"/>
            <color indexed="81"/>
            <rFont val="Tahoma"/>
            <family val="2"/>
          </rPr>
          <t>RATHORE:</t>
        </r>
        <r>
          <rPr>
            <sz val="8"/>
            <color indexed="81"/>
            <rFont val="Tahoma"/>
            <family val="2"/>
          </rPr>
          <t xml:space="preserve">
</t>
        </r>
      </text>
    </comment>
    <comment ref="C42" authorId="0" shapeId="0" xr:uid="{4D5A998E-EE7C-445F-9266-78EB5042B091}">
      <text>
        <r>
          <rPr>
            <b/>
            <sz val="8"/>
            <color indexed="81"/>
            <rFont val="Tahoma"/>
            <family val="2"/>
          </rPr>
          <t>RATHORE:</t>
        </r>
        <r>
          <rPr>
            <sz val="8"/>
            <color indexed="81"/>
            <rFont val="Tahoma"/>
            <family val="2"/>
          </rPr>
          <t xml:space="preserve">
</t>
        </r>
      </text>
    </comment>
    <comment ref="C43" authorId="0" shapeId="0" xr:uid="{B8A4CB92-EA2A-43F7-8ADD-EBDF2BC0E179}">
      <text>
        <r>
          <rPr>
            <b/>
            <sz val="8"/>
            <color indexed="81"/>
            <rFont val="Tahoma"/>
            <family val="2"/>
          </rPr>
          <t>RATHORE:</t>
        </r>
        <r>
          <rPr>
            <sz val="8"/>
            <color indexed="81"/>
            <rFont val="Tahoma"/>
            <family val="2"/>
          </rPr>
          <t xml:space="preserve">
</t>
        </r>
      </text>
    </comment>
    <comment ref="B47" authorId="0" shapeId="0" xr:uid="{C03F4AA1-C324-4F85-8965-ECF3BD4A5F77}">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<sst xmlns="http://schemas.openxmlformats.org/spreadsheetml/2006/main" count="280" uniqueCount="252">
  <si>
    <t>Dr. V.K. Singhania's Book</t>
  </si>
  <si>
    <t xml:space="preserve">A S S E S S M E N T   Y E A R  :  2 0 2 1 - 2 2 </t>
  </si>
  <si>
    <t>Exempted</t>
  </si>
  <si>
    <t>Filing Date</t>
  </si>
  <si>
    <t>65th Edition:  August-2021</t>
  </si>
  <si>
    <t>Case Study-2</t>
  </si>
  <si>
    <t>Pgs  528-529</t>
  </si>
  <si>
    <t>Shrinath S. Makhija</t>
  </si>
  <si>
    <t xml:space="preserve">Basic Salary </t>
  </si>
  <si>
    <r>
      <t xml:space="preserve">SALARIES </t>
    </r>
    <r>
      <rPr>
        <sz val="10"/>
        <color theme="1"/>
        <rFont val="Arial"/>
        <family val="2"/>
      </rPr>
      <t>U/S 15-17</t>
    </r>
  </si>
  <si>
    <t>shorturl.at/rwMWZ</t>
  </si>
  <si>
    <t>Amount (Rs.)</t>
  </si>
  <si>
    <t>i</t>
  </si>
  <si>
    <t>Travelling Allowance</t>
  </si>
  <si>
    <t xml:space="preserve">Due date </t>
  </si>
  <si>
    <t>Sec 17(1)</t>
  </si>
  <si>
    <t>Basic Salary and Allowances</t>
  </si>
  <si>
    <t xml:space="preserve">HRA (Taxable) </t>
  </si>
  <si>
    <t>Sec 17(2)</t>
  </si>
  <si>
    <r>
      <t xml:space="preserve">Value of Perquisites </t>
    </r>
    <r>
      <rPr>
        <sz val="9"/>
        <color rgb="FF0000FF"/>
        <rFont val="Arial"/>
        <family val="2"/>
      </rPr>
      <t xml:space="preserve">(Medical + Leave Travel) </t>
    </r>
  </si>
  <si>
    <t>ii</t>
  </si>
  <si>
    <t>Children Education Allow</t>
  </si>
  <si>
    <t>Calculation</t>
  </si>
  <si>
    <t>Sec 17(3)</t>
  </si>
  <si>
    <t xml:space="preserve">Profit in lieu of Salary </t>
  </si>
  <si>
    <t>Transport Allowance</t>
  </si>
  <si>
    <t xml:space="preserve">Gross Salary </t>
  </si>
  <si>
    <t>Servant Allowance</t>
  </si>
  <si>
    <t>Late Fees</t>
  </si>
  <si>
    <t>Sec 10</t>
  </si>
  <si>
    <t xml:space="preserve">Less Exempt Allowances </t>
  </si>
  <si>
    <t>42000 + 1500 + 56000</t>
  </si>
  <si>
    <t>Driver Allowance</t>
  </si>
  <si>
    <t>Jan-Mar 2022</t>
  </si>
  <si>
    <t xml:space="preserve">Net Salary </t>
  </si>
  <si>
    <t xml:space="preserve">Leave Salary </t>
  </si>
  <si>
    <t>Sec 16(ia)</t>
  </si>
  <si>
    <t>Less Standard  Deduction</t>
  </si>
  <si>
    <r>
      <t xml:space="preserve">HOUSE PROPERTY </t>
    </r>
    <r>
      <rPr>
        <sz val="10"/>
        <color theme="1"/>
        <rFont val="Arial"/>
        <family val="2"/>
      </rPr>
      <t>U/S 22-27</t>
    </r>
  </si>
  <si>
    <t>Self-Occupied</t>
  </si>
  <si>
    <t xml:space="preserve">Leave Travel Concession </t>
  </si>
  <si>
    <t xml:space="preserve">Annual Value </t>
  </si>
  <si>
    <t xml:space="preserve">Nil </t>
  </si>
  <si>
    <t>Reimbursement of Medical Exps</t>
  </si>
  <si>
    <t xml:space="preserve">Less  Municipal Taxes Paid </t>
  </si>
  <si>
    <t>Sec 24</t>
  </si>
  <si>
    <t>LESS: Deduction</t>
  </si>
  <si>
    <t xml:space="preserve">Intt on H  Loan </t>
  </si>
  <si>
    <t xml:space="preserve">Max allowed </t>
  </si>
  <si>
    <t>Intt on Borrowed Cap</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</si>
  <si>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</si>
  <si>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</si>
  <si>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</si>
  <si>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</si>
  <si>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</si>
  <si>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r>
      <t>Punjab National Bank FD Interest</t>
    </r>
    <r>
      <rPr>
        <b/>
        <sz val="9"/>
        <color theme="1"/>
        <rFont val="Arial"/>
        <family val="2"/>
      </rPr>
      <t xml:space="preserve"> (2700000 / 100 * 90) </t>
    </r>
  </si>
  <si>
    <t>Bank FDR Intt (TDS @ 10%)</t>
  </si>
  <si>
    <t xml:space="preserve">Dividend from Excel Motors Ltd </t>
  </si>
  <si>
    <t>Dividend from Excel Motors Limited</t>
  </si>
  <si>
    <t>No TDS</t>
  </si>
  <si>
    <t>GROSS TOTAL INCOME</t>
  </si>
  <si>
    <t xml:space="preserve">LESS: DEDUCTIONS UNDER CHAPTER VI-A </t>
  </si>
  <si>
    <t>Section 80C</t>
  </si>
  <si>
    <t xml:space="preserve">Sec  80C </t>
  </si>
  <si>
    <t>Max Limit 150000</t>
  </si>
  <si>
    <t xml:space="preserve">Section 80CCD(1B) </t>
  </si>
  <si>
    <r>
      <t xml:space="preserve">Sec  80CCD(1B) </t>
    </r>
    <r>
      <rPr>
        <sz val="9"/>
        <color theme="1"/>
        <rFont val="Arial"/>
        <family val="2"/>
      </rPr>
      <t xml:space="preserve">NPS </t>
    </r>
  </si>
  <si>
    <t>Max Limit   50000</t>
  </si>
  <si>
    <t xml:space="preserve">Section 80D (Medical Ins Prem) </t>
  </si>
  <si>
    <t>Sec 80D</t>
  </si>
  <si>
    <t xml:space="preserve">Mediclaim </t>
  </si>
  <si>
    <t>Max Limit   25000</t>
  </si>
  <si>
    <t>Self &amp; Spouse</t>
  </si>
  <si>
    <t>Sec 80TTA</t>
  </si>
  <si>
    <t xml:space="preserve">SB Interest  </t>
  </si>
  <si>
    <t>Max Limit   10000</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</si>
  <si>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</si>
  <si>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</si>
  <si>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</si>
  <si>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</si>
  <si>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</si>
  <si>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</si>
  <si>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</si>
  <si>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</si>
  <si>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</si>
  <si>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</si>
  <si>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Sec 87A</t>
  </si>
  <si>
    <r>
      <t xml:space="preserve">LESS : REBATE  </t>
    </r>
    <r>
      <rPr>
        <sz val="8"/>
        <color theme="1"/>
        <rFont val="Arial Narrow"/>
        <family val="2"/>
      </rPr>
      <t>(Rs. 12500, if Total Income upto Rs. 5 Lakhs)</t>
    </r>
  </si>
  <si>
    <t xml:space="preserve">      Above   1000,000</t>
  </si>
  <si>
    <r>
      <t xml:space="preserve">ADD : SURCHARGE  </t>
    </r>
    <r>
      <rPr>
        <sz val="8"/>
        <color theme="1"/>
        <rFont val="Arial"/>
        <family val="2"/>
      </rPr>
      <t>(10 % / 15% / 25% / 37%)</t>
    </r>
  </si>
  <si>
    <t xml:space="preserve">ADD : HEALTH &amp; EDUCATION CESS (4 % on Income Tax + Surcharge) </t>
  </si>
  <si>
    <t>Details of Assets &amp; Liabilities</t>
  </si>
  <si>
    <t xml:space="preserve">Acq Cost </t>
  </si>
  <si>
    <t>Mkt value</t>
  </si>
  <si>
    <r>
      <t>TOTAL TAX PAYABLE</t>
    </r>
    <r>
      <rPr>
        <sz val="10"/>
        <color theme="1"/>
        <rFont val="Arial"/>
        <family val="2"/>
      </rPr>
      <t xml:space="preserve"> (including Surcharge &amp; Cess) </t>
    </r>
  </si>
  <si>
    <t>Jewellery (1985-86)</t>
  </si>
  <si>
    <t>15 yrs</t>
  </si>
  <si>
    <t xml:space="preserve">ADD : INTEREST U/S 234A, 234B &amp; 234C </t>
  </si>
  <si>
    <t>Interest till the date of making Video i.e 02-10-2021</t>
  </si>
  <si>
    <t xml:space="preserve">Plot of Land - Delhi (2006-07) </t>
  </si>
  <si>
    <t>36 yrs</t>
  </si>
  <si>
    <t xml:space="preserve">ADD : Late Fees U/S 234F </t>
  </si>
  <si>
    <t>Rs. 5000 (Jan-Mar 2022)</t>
  </si>
  <si>
    <t>Self-Occpuied Resi Prop (1985-86)</t>
  </si>
  <si>
    <t>TOTAL TAX AND INTEREST PAYABLE</t>
  </si>
  <si>
    <t>Cash in Hand</t>
  </si>
  <si>
    <t xml:space="preserve">TAX PAID U/S 199 : </t>
  </si>
  <si>
    <t xml:space="preserve">Advance Tax Paid  U/S 210 </t>
  </si>
  <si>
    <t>Self-Assessment Tax Paid  U/S 140A</t>
  </si>
  <si>
    <t>TDS to be deducted  by the Employer</t>
  </si>
  <si>
    <t xml:space="preserve">T. D. S.  U/S 192 </t>
  </si>
  <si>
    <t>Employer</t>
  </si>
  <si>
    <t xml:space="preserve">Salary after Std Deduction </t>
  </si>
  <si>
    <t xml:space="preserve">T. D. S.  U/S 194A </t>
  </si>
  <si>
    <t>PNB</t>
  </si>
  <si>
    <t xml:space="preserve">Intt on Housing Loan </t>
  </si>
  <si>
    <t>Deds 80C / 80CCD (1B) / 80D</t>
  </si>
  <si>
    <t>Rounding Off u/s 288B</t>
  </si>
  <si>
    <t>Tax Calculations  by Dr SB Rathore,  Associate Professor of Commerce (Oct-77 to Dec-19) in Shyam Lal College (University of Delhi), Delhi-110032</t>
  </si>
  <si>
    <t xml:space="preserve">Surcharge </t>
  </si>
  <si>
    <t>Website: www.taxclasses.in</t>
  </si>
  <si>
    <t xml:space="preserve">FaceBook: DrSB Rathore </t>
  </si>
  <si>
    <t xml:space="preserve">YouTube: Dr Rathore's tax Video Lectures (No Advertisements) </t>
  </si>
  <si>
    <t xml:space="preserve">HEC </t>
  </si>
  <si>
    <t>Date of Dividend</t>
  </si>
  <si>
    <t>Pincode of Property</t>
  </si>
  <si>
    <t>New Tax Rates Regime</t>
  </si>
  <si>
    <t>Old Tax Rates Regime</t>
  </si>
  <si>
    <t>Salaries</t>
  </si>
  <si>
    <r>
      <t>Upto 2,50,000</t>
    </r>
    <r>
      <rPr>
        <sz val="10"/>
        <color rgb="FFC00000"/>
        <rFont val="Arial"/>
        <family val="2"/>
      </rPr>
      <t xml:space="preserve"> </t>
    </r>
  </si>
  <si>
    <t>House Property</t>
  </si>
  <si>
    <t>2,50,001   to    5,00,000</t>
  </si>
  <si>
    <t>Other Sources</t>
  </si>
  <si>
    <t>5,00,001   to  10,00,000</t>
  </si>
  <si>
    <t>Total income</t>
  </si>
  <si>
    <t>Above            10,00,000</t>
  </si>
  <si>
    <t xml:space="preserve">   Upto             2,50,000</t>
  </si>
  <si>
    <t>5,00,001   to    7,50,000</t>
  </si>
  <si>
    <t>7,50,001   to  10,00,000</t>
  </si>
  <si>
    <t>Total Liability</t>
  </si>
  <si>
    <t>10,00,001 to  12,50,000</t>
  </si>
  <si>
    <t>12,50,001  to  15,00,000</t>
  </si>
  <si>
    <t>Calculation  of Interest under Sections 234A, 234B &amp; 234C</t>
  </si>
  <si>
    <t>Total Interest</t>
  </si>
  <si>
    <t xml:space="preserve">   Above         15,00,000</t>
  </si>
  <si>
    <t>Section 234C: In case of Non-Sr Citizen: If  Amount Exceeds Rs. 10000</t>
  </si>
  <si>
    <t xml:space="preserve">No Change </t>
  </si>
  <si>
    <t>Part -B</t>
  </si>
  <si>
    <t>80C - 80GGC</t>
  </si>
  <si>
    <t>Total Tax, Surcharge &amp; Cess</t>
  </si>
  <si>
    <t>Rebate u/s 87A (if TI upto  5 Lakhs)</t>
  </si>
  <si>
    <t>Part -C</t>
  </si>
  <si>
    <t>80H - 80RRB</t>
  </si>
  <si>
    <t>Less TDS by the Employer, Bank</t>
  </si>
  <si>
    <t>10%  Surcharge   (TI 50 Lakhs - 100 Lakhs)</t>
  </si>
  <si>
    <t>Part- CA</t>
  </si>
  <si>
    <t>80TTA, 80TTB</t>
  </si>
  <si>
    <t xml:space="preserve">Liability for Advance tax </t>
  </si>
  <si>
    <t>15%  Surcharge   (TI 100 Lakhs - 200 Lakhs)</t>
  </si>
  <si>
    <t>Part-D</t>
  </si>
  <si>
    <t>80U</t>
  </si>
  <si>
    <t>Health &amp; Education Cess @ 4%</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</si>
  <si>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</si>
  <si>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</si>
  <si>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</si>
  <si>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</si>
  <si>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</si>
  <si>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</si>
  <si>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</si>
  <si>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</si>
  <si>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</si>
  <si>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</si>
  <si>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</si>
  <si>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</si>
  <si>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</si>
  <si>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</si>
  <si>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</si>
  <si>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</si>
  <si>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</si>
  <si>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</si>
  <si>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</si>
  <si>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</si>
  <si>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</si>
  <si>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</si>
  <si>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</si>
  <si>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Interest u/s 234A</t>
  </si>
  <si>
    <t>Add Interest u/s 234C till 31-03-2021</t>
  </si>
  <si>
    <t>Add Interest u/s 234B till 30-04-2021</t>
  </si>
  <si>
    <t>Less Self-Assessment Tax Paid on 30-04-021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</si>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</sst>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2" x14ac:knownFonts="1">
    <font>
      <sz val="10"/>
      <name val="Arial"/>
    </font>
    <font>
      <sz val="10"/>
      <name val="Arial"/>
      <family val="2"/>
    </font>
    <font>
      <b/>
      <sz val="8"/>
      <color rgb="FF2B0CE4"/>
      <name val="Arial"/>
      <family val="2"/>
    </font>
    <font>
      <sz val="11"/>
      <color theme="1"/>
      <name val="Arial"/>
      <family val="2"/>
    </font>
    <font>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8"/>
      <color rgb="FF7030A0"/>
      <name val="Arial"/>
      <family val="2"/>
    </font>
    <font>
      <sz val="9"/>
      <color rgb="FF7030A0"/>
      <name val="Arial"/>
      <family val="2"/>
    </font>
    <font>
      <b/>
      <sz val="10"/>
      <color rgb="FF0000FF"/>
      <name val="Arial"/>
      <family val="2"/>
    </font>
    <font>
      <sz val="9"/>
      <name val="Arial"/>
      <family val="2"/>
    </font>
    <font>
      <sz val="8"/>
      <color theme="1"/>
      <name val="Arial Narrow"/>
      <family val="2"/>
    </font>
    <font>
      <b/>
      <sz val="8"/>
      <color rgb="FFC00000"/>
      <name val="Arial Narrow"/>
      <family val="2"/>
    </font>
    <font>
      <u/>
      <sz val="10"/>
      <color theme="1"/>
      <name val="Arial"/>
      <family val="2"/>
    </font>
    <font>
      <sz val="10"/>
      <color theme="3" tint="-0.249977111117893"/>
      <name val="Arial"/>
      <family val="2"/>
    </font>
    <font>
      <i/>
      <u/>
      <sz val="10"/>
      <color theme="1"/>
      <name val="Arial"/>
      <family val="2"/>
    </font>
    <font>
      <i/>
      <sz val="10"/>
      <color theme="3" tint="-0.249977111117893"/>
      <name val="Arial"/>
      <family val="2"/>
    </font>
    <font>
      <i/>
      <sz val="8"/>
      <color theme="1"/>
      <name val="Arial"/>
      <family val="2"/>
    </font>
    <font>
      <b/>
      <sz val="10"/>
      <color rgb="FFFF0000"/>
      <name val="Arial Narrow"/>
      <family val="2"/>
    </font>
    <font>
      <sz val="8"/>
      <color rgb="FF0000FF"/>
      <name val="Arial"/>
      <family val="2"/>
    </font>
    <font>
      <sz val="10"/>
      <color theme="1"/>
      <name val="Arial Narrow"/>
      <family val="2"/>
    </font>
    <font>
      <sz val="10"/>
      <color rgb="FFC00000"/>
      <name val="Arial Narrow"/>
      <family val="2"/>
    </font>
    <font>
      <sz val="9"/>
      <color rgb="FF00B0F0"/>
      <name val="Arial"/>
      <family val="2"/>
    </font>
    <font>
      <sz val="9"/>
      <color theme="1"/>
      <name val="Arial Narrow"/>
      <family val="2"/>
    </font>
    <font>
      <b/>
      <sz val="9"/>
      <color theme="7" tint="-0.249977111117893"/>
      <name val="Arial"/>
      <family val="2"/>
    </font>
    <font>
      <b/>
      <sz val="10"/>
      <color rgb="FFC00000"/>
      <name val="Arial"/>
      <family val="2"/>
    </font>
    <font>
      <sz val="8"/>
      <color rgb="FF2B0CE4"/>
      <name val="Arial Narrow"/>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8"/>
      <name val="Arial"/>
      <family val="2"/>
    </font>
    <font>
      <sz val="8"/>
      <color rgb="FFC00000"/>
      <name val="Arial"/>
      <family val="2"/>
    </font>
    <font>
      <b/>
      <sz val="10"/>
      <name val="Arial"/>
      <family val="2"/>
    </font>
    <font>
      <sz val="9"/>
      <color theme="8" tint="-0.249977111117893"/>
      <name val="Arial"/>
      <family val="2"/>
    </font>
    <font>
      <b/>
      <sz val="10"/>
      <color theme="4" tint="-0.249977111117893"/>
      <name val="Arial"/>
      <family val="2"/>
    </font>
    <font>
      <b/>
      <sz val="10"/>
      <color indexed="12"/>
      <name val="Arial"/>
      <family val="2"/>
    </font>
    <font>
      <b/>
      <sz val="9"/>
      <color rgb="FF0000FF"/>
      <name val="Arial"/>
      <family val="2"/>
    </font>
    <font>
      <b/>
      <sz val="9"/>
      <color theme="9" tint="-0.249977111117893"/>
      <name val="Arial"/>
      <family val="2"/>
    </font>
    <font>
      <sz val="10"/>
      <color indexed="12"/>
      <name val="Arial"/>
      <family val="2"/>
    </font>
    <font>
      <b/>
      <sz val="10"/>
      <color rgb="FF00B050"/>
      <name val="Arial"/>
      <family val="2"/>
    </font>
    <font>
      <b/>
      <u/>
      <sz val="11"/>
      <color indexed="10"/>
      <name val="Arial"/>
      <family val="2"/>
    </font>
    <font>
      <sz val="10"/>
      <color rgb="FFFF0000"/>
      <name val="Arial"/>
      <family val="2"/>
    </font>
    <font>
      <i/>
      <sz val="10"/>
      <name val="Arial"/>
      <family val="2"/>
    </font>
    <font>
      <b/>
      <sz val="9"/>
      <color rgb="FFC0000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89">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3"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6" fillId="0" borderId="4" xfId="0" applyFont="1" applyBorder="1" applyAlignment="1">
      <alignment horizontal="center"/>
    </xf>
    <xf numFmtId="0" fontId="3" fillId="0" borderId="0" xfId="0" applyFont="1"/>
    <xf numFmtId="0" fontId="7" fillId="0" borderId="5" xfId="2" applyFont="1" applyBorder="1" applyAlignment="1">
      <alignment horizontal="center" shrinkToFit="1"/>
    </xf>
    <xf numFmtId="0" fontId="7" fillId="0" borderId="6" xfId="2" applyFont="1" applyBorder="1" applyAlignment="1">
      <alignment horizontal="center" shrinkToFit="1"/>
    </xf>
    <xf numFmtId="0" fontId="8" fillId="0" borderId="6" xfId="2" applyFont="1" applyBorder="1" applyAlignment="1">
      <alignment horizontal="center"/>
    </xf>
    <xf numFmtId="0" fontId="9" fillId="0" borderId="6" xfId="2" applyFont="1" applyBorder="1" applyAlignment="1">
      <alignment horizontal="center"/>
    </xf>
    <xf numFmtId="0" fontId="10" fillId="0" borderId="6" xfId="0" applyFont="1" applyBorder="1" applyAlignment="1">
      <alignment horizontal="center"/>
    </xf>
    <xf numFmtId="15" fontId="11" fillId="0" borderId="6" xfId="2" applyNumberFormat="1" applyFont="1" applyBorder="1" applyAlignment="1">
      <alignment horizontal="center"/>
    </xf>
    <xf numFmtId="1" fontId="12" fillId="2" borderId="7" xfId="0" applyNumberFormat="1" applyFont="1" applyFill="1" applyBorder="1" applyAlignment="1">
      <alignment horizontal="center" shrinkToFit="1"/>
    </xf>
    <xf numFmtId="1" fontId="5" fillId="0" borderId="0" xfId="0" applyNumberFormat="1" applyFont="1"/>
    <xf numFmtId="15" fontId="6" fillId="0" borderId="8" xfId="0" applyNumberFormat="1" applyFont="1" applyBorder="1" applyAlignment="1">
      <alignment horizontal="center"/>
    </xf>
    <xf numFmtId="1" fontId="9" fillId="0" borderId="9"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0" fontId="11" fillId="0" borderId="8" xfId="0" applyFont="1" applyBorder="1" applyAlignment="1">
      <alignment horizontal="center"/>
    </xf>
    <xf numFmtId="0" fontId="9" fillId="0" borderId="9" xfId="0" applyFont="1" applyBorder="1" applyAlignment="1">
      <alignment shrinkToFit="1"/>
    </xf>
    <xf numFmtId="0" fontId="9" fillId="0" borderId="0" xfId="0" applyFont="1"/>
    <xf numFmtId="0" fontId="15" fillId="0" borderId="0" xfId="0" applyFont="1" applyAlignment="1">
      <alignment horizontal="left"/>
    </xf>
    <xf numFmtId="1" fontId="5" fillId="3" borderId="10" xfId="0" applyNumberFormat="1" applyFont="1" applyFill="1" applyBorder="1"/>
    <xf numFmtId="1" fontId="16" fillId="0" borderId="0" xfId="0" applyNumberFormat="1" applyFont="1"/>
    <xf numFmtId="1" fontId="16" fillId="0" borderId="11" xfId="0" applyNumberFormat="1" applyFont="1" applyBorder="1"/>
    <xf numFmtId="15" fontId="11" fillId="0" borderId="8" xfId="0" applyNumberFormat="1" applyFont="1" applyBorder="1" applyAlignment="1">
      <alignment horizontal="center"/>
    </xf>
    <xf numFmtId="0" fontId="9" fillId="0" borderId="8" xfId="0" applyFont="1" applyBorder="1" applyAlignment="1">
      <alignment horizontal="center"/>
    </xf>
    <xf numFmtId="1" fontId="5" fillId="3" borderId="12" xfId="0" applyNumberFormat="1" applyFont="1" applyFill="1" applyBorder="1"/>
    <xf numFmtId="0" fontId="17" fillId="0" borderId="0" xfId="0" applyFont="1" applyAlignment="1">
      <alignment horizontal="left" indent="1"/>
    </xf>
    <xf numFmtId="0" fontId="5" fillId="0" borderId="0" xfId="0" applyFont="1" applyAlignment="1">
      <alignment horizontal="right"/>
    </xf>
    <xf numFmtId="15" fontId="15" fillId="0" borderId="13" xfId="0" applyNumberFormat="1" applyFont="1" applyBorder="1" applyAlignment="1">
      <alignment horizontal="center"/>
    </xf>
    <xf numFmtId="0" fontId="17" fillId="0" borderId="0" xfId="0" applyFont="1" applyAlignment="1">
      <alignment horizontal="right"/>
    </xf>
    <xf numFmtId="1" fontId="5" fillId="0" borderId="14" xfId="0" applyNumberFormat="1" applyFont="1" applyBorder="1"/>
    <xf numFmtId="0" fontId="18" fillId="4" borderId="4" xfId="0" applyFont="1" applyFill="1" applyBorder="1" applyAlignment="1">
      <alignment horizontal="center"/>
    </xf>
    <xf numFmtId="0" fontId="19" fillId="0" borderId="0" xfId="0" applyFont="1"/>
    <xf numFmtId="17" fontId="20" fillId="0" borderId="8" xfId="0" applyNumberFormat="1" applyFont="1" applyBorder="1" applyAlignment="1">
      <alignment horizontal="center"/>
    </xf>
    <xf numFmtId="1" fontId="5" fillId="0" borderId="10" xfId="0" applyNumberFormat="1" applyFont="1" applyBorder="1"/>
    <xf numFmtId="0" fontId="21" fillId="0" borderId="13" xfId="0" applyFont="1" applyBorder="1" applyAlignment="1">
      <alignment horizontal="center"/>
    </xf>
    <xf numFmtId="0" fontId="15" fillId="0" borderId="0" xfId="0" applyFont="1"/>
    <xf numFmtId="0" fontId="22" fillId="0" borderId="15" xfId="0" applyFont="1" applyBorder="1" applyAlignment="1">
      <alignment horizontal="right" vertical="center"/>
    </xf>
    <xf numFmtId="0" fontId="8" fillId="0" borderId="0" xfId="0" applyFont="1"/>
    <xf numFmtId="0" fontId="23"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6" fillId="0" borderId="16" xfId="0" applyNumberFormat="1" applyFont="1" applyBorder="1"/>
    <xf numFmtId="0" fontId="15" fillId="0" borderId="0" xfId="0" applyFont="1" applyAlignment="1">
      <alignment horizontal="center"/>
    </xf>
    <xf numFmtId="0" fontId="23" fillId="0" borderId="0" xfId="0" applyFont="1"/>
    <xf numFmtId="0" fontId="5" fillId="5" borderId="12" xfId="0" applyFont="1" applyFill="1" applyBorder="1" applyAlignment="1">
      <alignment horizontal="right"/>
    </xf>
    <xf numFmtId="1" fontId="5" fillId="0" borderId="0" xfId="0" applyNumberFormat="1" applyFont="1" applyAlignment="1">
      <alignment horizontal="right"/>
    </xf>
    <xf numFmtId="0" fontId="9" fillId="0" borderId="0" xfId="0" applyFont="1" applyAlignment="1">
      <alignment horizontal="center"/>
    </xf>
    <xf numFmtId="0" fontId="5" fillId="5" borderId="12" xfId="0" applyFont="1" applyFill="1" applyBorder="1"/>
    <xf numFmtId="0" fontId="17" fillId="6" borderId="0" xfId="2" applyFont="1" applyFill="1"/>
    <xf numFmtId="0" fontId="5" fillId="5" borderId="0" xfId="0" applyFont="1" applyFill="1"/>
    <xf numFmtId="0" fontId="5" fillId="5" borderId="17" xfId="0" applyFont="1" applyFill="1" applyBorder="1"/>
    <xf numFmtId="0" fontId="24" fillId="0" borderId="0" xfId="0" applyFont="1" applyAlignment="1">
      <alignment horizontal="center"/>
    </xf>
    <xf numFmtId="14" fontId="25" fillId="0" borderId="0" xfId="0" applyNumberFormat="1" applyFont="1" applyAlignment="1">
      <alignment horizontal="center"/>
    </xf>
    <xf numFmtId="1" fontId="16" fillId="0" borderId="18" xfId="0" applyNumberFormat="1" applyFont="1" applyBorder="1"/>
    <xf numFmtId="1" fontId="16" fillId="0" borderId="19" xfId="0" applyNumberFormat="1" applyFont="1" applyBorder="1"/>
    <xf numFmtId="1" fontId="22" fillId="0" borderId="11" xfId="0" applyNumberFormat="1" applyFont="1" applyBorder="1"/>
    <xf numFmtId="0" fontId="26" fillId="0" borderId="0" xfId="0" applyFont="1"/>
    <xf numFmtId="0" fontId="27" fillId="0" borderId="0" xfId="0" applyFont="1"/>
    <xf numFmtId="0" fontId="28" fillId="0" borderId="0" xfId="0" applyFont="1"/>
    <xf numFmtId="0" fontId="6" fillId="0" borderId="0" xfId="0" applyFont="1" applyAlignment="1">
      <alignment horizontal="right"/>
    </xf>
    <xf numFmtId="0" fontId="16" fillId="0" borderId="0" xfId="0" applyFont="1"/>
    <xf numFmtId="0" fontId="29" fillId="0" borderId="0" xfId="0" applyFont="1" applyAlignment="1">
      <alignment horizontal="left" indent="1"/>
    </xf>
    <xf numFmtId="0" fontId="16" fillId="0" borderId="0" xfId="0" applyFont="1" applyAlignment="1">
      <alignment vertical="center"/>
    </xf>
    <xf numFmtId="1" fontId="24" fillId="0" borderId="0" xfId="0" applyNumberFormat="1" applyFont="1" applyAlignment="1">
      <alignment horizontal="left"/>
    </xf>
    <xf numFmtId="0" fontId="24" fillId="0" borderId="0" xfId="0" applyFont="1" applyAlignment="1">
      <alignment horizontal="left"/>
    </xf>
    <xf numFmtId="0" fontId="9"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5" fillId="0" borderId="16" xfId="0" applyFont="1" applyBorder="1"/>
    <xf numFmtId="0" fontId="15" fillId="0" borderId="11" xfId="0" applyFont="1" applyBorder="1"/>
    <xf numFmtId="0" fontId="5" fillId="0" borderId="0" xfId="0" applyFont="1" applyAlignment="1">
      <alignment horizontal="left" indent="1"/>
    </xf>
    <xf numFmtId="9" fontId="5" fillId="0" borderId="0" xfId="0" applyNumberFormat="1" applyFont="1" applyAlignment="1">
      <alignment horizontal="center"/>
    </xf>
    <xf numFmtId="0" fontId="9" fillId="0" borderId="0" xfId="0" applyFont="1" applyAlignment="1">
      <alignment shrinkToFit="1"/>
    </xf>
    <xf numFmtId="0" fontId="30" fillId="0" borderId="0" xfId="0" applyFont="1" applyAlignment="1">
      <alignment horizontal="right"/>
    </xf>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9" fontId="10" fillId="0" borderId="0" xfId="0" applyNumberFormat="1" applyFont="1" applyAlignment="1">
      <alignment horizontal="center"/>
    </xf>
    <xf numFmtId="1" fontId="5" fillId="0" borderId="22" xfId="0" applyNumberFormat="1" applyFont="1" applyBorder="1" applyAlignment="1">
      <alignment horizontal="right"/>
    </xf>
    <xf numFmtId="1" fontId="5" fillId="0" borderId="18" xfId="0" applyNumberFormat="1" applyFont="1" applyBorder="1" applyAlignment="1">
      <alignment horizontal="right"/>
    </xf>
    <xf numFmtId="0" fontId="16" fillId="7" borderId="15" xfId="0" applyFont="1" applyFill="1" applyBorder="1"/>
    <xf numFmtId="0" fontId="5" fillId="8" borderId="0" xfId="0" applyFont="1" applyFill="1" applyAlignment="1">
      <alignment horizontal="left"/>
    </xf>
    <xf numFmtId="0" fontId="15" fillId="8" borderId="0" xfId="0" applyFont="1" applyFill="1" applyAlignment="1">
      <alignment horizontal="center"/>
    </xf>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1" fontId="15" fillId="8" borderId="0" xfId="0" applyNumberFormat="1" applyFont="1" applyFill="1" applyAlignment="1">
      <alignment horizontal="left" indent="1"/>
    </xf>
    <xf numFmtId="1" fontId="5" fillId="8" borderId="0" xfId="0" applyNumberFormat="1" applyFont="1" applyFill="1"/>
    <xf numFmtId="1" fontId="15" fillId="8" borderId="0" xfId="0" applyNumberFormat="1" applyFont="1" applyFill="1"/>
    <xf numFmtId="0" fontId="31" fillId="0" borderId="0" xfId="0" applyFont="1" applyAlignment="1">
      <alignment horizontal="left"/>
    </xf>
    <xf numFmtId="0" fontId="32" fillId="0" borderId="0" xfId="0" applyFont="1" applyAlignment="1">
      <alignment horizontal="right"/>
    </xf>
    <xf numFmtId="1" fontId="5" fillId="0" borderId="22" xfId="0" applyNumberFormat="1" applyFont="1" applyBorder="1"/>
    <xf numFmtId="1" fontId="5" fillId="0" borderId="18" xfId="0" applyNumberFormat="1" applyFont="1" applyBorder="1"/>
    <xf numFmtId="1" fontId="5" fillId="8" borderId="15" xfId="0" applyNumberFormat="1" applyFont="1" applyFill="1" applyBorder="1"/>
    <xf numFmtId="15" fontId="6" fillId="0" borderId="0" xfId="2" applyNumberFormat="1" applyFont="1" applyAlignment="1">
      <alignment horizontal="center"/>
    </xf>
    <xf numFmtId="0" fontId="33" fillId="0" borderId="0" xfId="0" applyFont="1" applyAlignment="1">
      <alignment horizontal="left" shrinkToFit="1"/>
    </xf>
    <xf numFmtId="0" fontId="33" fillId="0" borderId="0" xfId="0" applyFont="1" applyAlignment="1">
      <alignment horizontal="left" shrinkToFit="1"/>
    </xf>
    <xf numFmtId="1" fontId="5" fillId="5" borderId="0" xfId="0" applyNumberFormat="1" applyFont="1" applyFill="1"/>
    <xf numFmtId="0" fontId="34" fillId="0" borderId="0" xfId="0" applyFont="1" applyAlignment="1">
      <alignment horizontal="left" shrinkToFit="1"/>
    </xf>
    <xf numFmtId="0" fontId="22" fillId="0" borderId="0" xfId="0" applyFont="1"/>
    <xf numFmtId="1" fontId="35" fillId="0" borderId="0" xfId="0" applyNumberFormat="1" applyFont="1" applyAlignment="1">
      <alignment horizontal="center"/>
    </xf>
    <xf numFmtId="0" fontId="36" fillId="0" borderId="0" xfId="0" applyFont="1" applyAlignment="1">
      <alignment horizontal="left" shrinkToFit="1"/>
    </xf>
    <xf numFmtId="0" fontId="5" fillId="0" borderId="0" xfId="0" applyFont="1" applyAlignment="1">
      <alignment horizontal="left" indent="2"/>
    </xf>
    <xf numFmtId="0" fontId="15" fillId="0" borderId="0" xfId="0" applyFont="1" applyAlignment="1">
      <alignment horizontal="left" indent="2"/>
    </xf>
    <xf numFmtId="0" fontId="5" fillId="0" borderId="17" xfId="0" applyFont="1" applyBorder="1"/>
    <xf numFmtId="1" fontId="9" fillId="0" borderId="23" xfId="0" applyNumberFormat="1" applyFont="1" applyBorder="1" applyAlignment="1">
      <alignment shrinkToFit="1"/>
    </xf>
    <xf numFmtId="0" fontId="16" fillId="0" borderId="24" xfId="0" applyFont="1" applyBorder="1"/>
    <xf numFmtId="0" fontId="5" fillId="0" borderId="24" xfId="0" applyFont="1" applyBorder="1"/>
    <xf numFmtId="0" fontId="37" fillId="0" borderId="24" xfId="0" applyFont="1" applyBorder="1"/>
    <xf numFmtId="0" fontId="24" fillId="0" borderId="24" xfId="0" applyFont="1" applyBorder="1" applyAlignment="1">
      <alignment horizontal="left"/>
    </xf>
    <xf numFmtId="0" fontId="5" fillId="0" borderId="24" xfId="0" applyFont="1" applyBorder="1" applyAlignment="1">
      <alignment horizontal="center"/>
    </xf>
    <xf numFmtId="1" fontId="38" fillId="4" borderId="25" xfId="2" applyNumberFormat="1" applyFont="1" applyFill="1" applyBorder="1"/>
    <xf numFmtId="1" fontId="16" fillId="4" borderId="26" xfId="2" applyNumberFormat="1" applyFont="1" applyFill="1" applyBorder="1"/>
    <xf numFmtId="0" fontId="15" fillId="0" borderId="0" xfId="0" applyFont="1" applyAlignment="1">
      <alignment horizontal="left" indent="11"/>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14" fontId="9" fillId="0" borderId="5" xfId="0" applyNumberFormat="1" applyFont="1" applyBorder="1" applyAlignment="1">
      <alignment horizontal="center" shrinkToFit="1"/>
    </xf>
    <xf numFmtId="0" fontId="9" fillId="0" borderId="6" xfId="0" applyFont="1" applyBorder="1" applyAlignment="1">
      <alignment horizontal="center" shrinkToFit="1"/>
    </xf>
    <xf numFmtId="0" fontId="40" fillId="0" borderId="6" xfId="0" applyFont="1" applyBorder="1"/>
    <xf numFmtId="0" fontId="41" fillId="0" borderId="6" xfId="0" applyFont="1" applyBorder="1" applyAlignment="1">
      <alignment horizontal="center"/>
    </xf>
    <xf numFmtId="0" fontId="42" fillId="0" borderId="6" xfId="0" applyFont="1" applyBorder="1" applyAlignment="1">
      <alignment horizontal="center"/>
    </xf>
    <xf numFmtId="0" fontId="43" fillId="0" borderId="6" xfId="0" applyFont="1" applyBorder="1" applyAlignment="1">
      <alignment horizontal="center"/>
    </xf>
    <xf numFmtId="0" fontId="43" fillId="0" borderId="7" xfId="0" applyFont="1" applyBorder="1" applyAlignment="1">
      <alignment horizontal="center"/>
    </xf>
    <xf numFmtId="0" fontId="44" fillId="0" borderId="0" xfId="0" applyFont="1" applyAlignment="1">
      <alignment shrinkToFit="1"/>
    </xf>
    <xf numFmtId="0" fontId="1" fillId="0" borderId="0" xfId="0" applyFont="1"/>
    <xf numFmtId="0" fontId="44" fillId="0" borderId="0" xfId="0" applyFont="1"/>
    <xf numFmtId="0" fontId="11" fillId="0" borderId="0" xfId="0" applyFont="1"/>
    <xf numFmtId="0" fontId="22" fillId="0" borderId="15" xfId="0" applyFont="1" applyBorder="1"/>
    <xf numFmtId="0" fontId="11" fillId="0" borderId="0" xfId="0" applyFont="1" applyAlignment="1">
      <alignment horizontal="left" indent="1"/>
    </xf>
    <xf numFmtId="0" fontId="45" fillId="0" borderId="0" xfId="0" applyFont="1" applyAlignment="1">
      <alignment horizontal="left"/>
    </xf>
    <xf numFmtId="0" fontId="10" fillId="0" borderId="0" xfId="0" applyFont="1" applyAlignment="1">
      <alignment horizontal="center"/>
    </xf>
    <xf numFmtId="0" fontId="4" fillId="0" borderId="0" xfId="0" applyFont="1" applyAlignment="1">
      <alignment horizontal="center"/>
    </xf>
    <xf numFmtId="0" fontId="46" fillId="6" borderId="1" xfId="2" applyFont="1" applyFill="1" applyBorder="1" applyAlignment="1">
      <alignment horizontal="center"/>
    </xf>
    <xf numFmtId="0" fontId="46" fillId="6" borderId="3" xfId="2" applyFont="1" applyFill="1" applyBorder="1" applyAlignment="1">
      <alignment horizontal="center"/>
    </xf>
    <xf numFmtId="0" fontId="6" fillId="0" borderId="0" xfId="0" applyFont="1"/>
    <xf numFmtId="0" fontId="6" fillId="0" borderId="0" xfId="0" applyFont="1" applyAlignment="1">
      <alignment horizontal="left" indent="1"/>
    </xf>
    <xf numFmtId="0" fontId="1" fillId="0" borderId="0" xfId="0" applyFont="1" applyAlignment="1">
      <alignment horizontal="left"/>
    </xf>
    <xf numFmtId="1" fontId="1" fillId="0" borderId="0" xfId="0" applyNumberFormat="1" applyFont="1"/>
    <xf numFmtId="0" fontId="1" fillId="6" borderId="9" xfId="2" applyFill="1" applyBorder="1" applyAlignment="1">
      <alignment horizontal="left" indent="1"/>
    </xf>
    <xf numFmtId="0" fontId="1" fillId="6" borderId="11" xfId="2" applyFill="1" applyBorder="1" applyAlignment="1">
      <alignment horizontal="center"/>
    </xf>
    <xf numFmtId="0" fontId="40" fillId="0" borderId="0" xfId="0" applyFont="1"/>
    <xf numFmtId="0" fontId="40" fillId="0" borderId="0" xfId="0" applyFont="1" applyAlignment="1">
      <alignment horizontal="left" indent="1"/>
    </xf>
    <xf numFmtId="0" fontId="5" fillId="0" borderId="0" xfId="0" applyFont="1" applyAlignment="1">
      <alignment horizontal="left"/>
    </xf>
    <xf numFmtId="9" fontId="1" fillId="6" borderId="11" xfId="1" applyFont="1" applyFill="1" applyBorder="1" applyAlignment="1">
      <alignment horizontal="center"/>
    </xf>
    <xf numFmtId="0" fontId="47" fillId="0" borderId="0" xfId="0" applyFont="1"/>
    <xf numFmtId="1" fontId="5" fillId="0" borderId="17" xfId="0" applyNumberFormat="1" applyFont="1" applyBorder="1"/>
    <xf numFmtId="0" fontId="47" fillId="0" borderId="0" xfId="0" applyFont="1" applyAlignment="1">
      <alignment horizontal="left" indent="1"/>
    </xf>
    <xf numFmtId="1" fontId="22" fillId="0" borderId="15" xfId="0" applyNumberFormat="1" applyFont="1" applyBorder="1" applyAlignment="1">
      <alignment horizontal="center"/>
    </xf>
    <xf numFmtId="0" fontId="5" fillId="0" borderId="15" xfId="0" applyFont="1" applyBorder="1"/>
    <xf numFmtId="0" fontId="9" fillId="0" borderId="15" xfId="0" applyFont="1" applyBorder="1" applyAlignment="1">
      <alignment horizontal="right"/>
    </xf>
    <xf numFmtId="1" fontId="5" fillId="0" borderId="15" xfId="0" applyNumberFormat="1" applyFont="1" applyBorder="1"/>
    <xf numFmtId="0" fontId="48" fillId="9" borderId="1" xfId="2" applyFont="1" applyFill="1" applyBorder="1" applyAlignment="1">
      <alignment horizontal="center"/>
    </xf>
    <xf numFmtId="0" fontId="48" fillId="9" borderId="3" xfId="2" applyFont="1" applyFill="1" applyBorder="1" applyAlignment="1">
      <alignment horizontal="center"/>
    </xf>
    <xf numFmtId="0" fontId="5" fillId="0" borderId="0" xfId="2" applyFont="1"/>
    <xf numFmtId="0" fontId="1" fillId="9" borderId="9" xfId="2" applyFill="1" applyBorder="1" applyAlignment="1">
      <alignment horizontal="left" indent="1"/>
    </xf>
    <xf numFmtId="0" fontId="1" fillId="9" borderId="11" xfId="2" applyFill="1" applyBorder="1" applyAlignment="1">
      <alignment horizontal="center"/>
    </xf>
    <xf numFmtId="9" fontId="1" fillId="9" borderId="11" xfId="1" applyFont="1" applyFill="1" applyBorder="1" applyAlignment="1">
      <alignment horizontal="center"/>
    </xf>
    <xf numFmtId="0" fontId="9" fillId="0" borderId="15" xfId="0" applyFont="1" applyBorder="1" applyAlignment="1">
      <alignment horizontal="left"/>
    </xf>
    <xf numFmtId="0" fontId="38" fillId="4" borderId="15" xfId="0" applyFont="1" applyFill="1" applyBorder="1"/>
    <xf numFmtId="0" fontId="49" fillId="10" borderId="0" xfId="2" applyFont="1" applyFill="1"/>
    <xf numFmtId="0" fontId="46" fillId="10" borderId="0" xfId="2" applyFont="1" applyFill="1"/>
    <xf numFmtId="0" fontId="50" fillId="10" borderId="0" xfId="2" applyFont="1" applyFill="1"/>
    <xf numFmtId="1" fontId="16" fillId="10" borderId="0" xfId="2" applyNumberFormat="1" applyFont="1" applyFill="1"/>
    <xf numFmtId="2" fontId="49" fillId="0" borderId="0" xfId="2" applyNumberFormat="1" applyFont="1" applyAlignment="1">
      <alignment horizontal="center"/>
    </xf>
    <xf numFmtId="0" fontId="51" fillId="0" borderId="0" xfId="2" applyFont="1"/>
    <xf numFmtId="0" fontId="1" fillId="0" borderId="0" xfId="2"/>
    <xf numFmtId="0" fontId="6" fillId="0" borderId="0" xfId="2" applyFont="1"/>
    <xf numFmtId="2" fontId="52" fillId="0" borderId="0" xfId="2" applyNumberFormat="1" applyFont="1"/>
    <xf numFmtId="0" fontId="53" fillId="11" borderId="1" xfId="2" applyFont="1" applyFill="1" applyBorder="1" applyAlignment="1">
      <alignment horizontal="center"/>
    </xf>
    <xf numFmtId="0" fontId="53" fillId="11" borderId="3" xfId="2" applyFont="1" applyFill="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23" fillId="0" borderId="0" xfId="2" applyFont="1"/>
    <xf numFmtId="1" fontId="1" fillId="0" borderId="0" xfId="2" applyNumberFormat="1"/>
    <xf numFmtId="0" fontId="1" fillId="0" borderId="0" xfId="2" applyAlignment="1">
      <alignment horizontal="center"/>
    </xf>
    <xf numFmtId="0" fontId="1" fillId="11" borderId="9" xfId="2" applyFill="1" applyBorder="1" applyAlignment="1">
      <alignment horizontal="left" indent="1"/>
    </xf>
    <xf numFmtId="0" fontId="1" fillId="11" borderId="11" xfId="2" applyFill="1" applyBorder="1"/>
    <xf numFmtId="1" fontId="0" fillId="0" borderId="0" xfId="0" applyNumberFormat="1" applyAlignment="1">
      <alignment horizontal="left"/>
    </xf>
    <xf numFmtId="0" fontId="1" fillId="11" borderId="9" xfId="2" applyFill="1" applyBorder="1" applyAlignment="1">
      <alignment horizontal="center"/>
    </xf>
    <xf numFmtId="0" fontId="1" fillId="11" borderId="11" xfId="2" applyFill="1" applyBorder="1" applyAlignment="1">
      <alignment horizontal="center"/>
    </xf>
    <xf numFmtId="1" fontId="0" fillId="0" borderId="0" xfId="0" applyNumberFormat="1" applyAlignment="1">
      <alignment horizontal="center"/>
    </xf>
    <xf numFmtId="1" fontId="1" fillId="0" borderId="15" xfId="2" applyNumberFormat="1" applyBorder="1"/>
    <xf numFmtId="1" fontId="10" fillId="0" borderId="0" xfId="2" applyNumberFormat="1" applyFont="1"/>
    <xf numFmtId="0" fontId="54" fillId="0" borderId="0" xfId="2" applyFont="1" applyAlignment="1">
      <alignment horizontal="center"/>
    </xf>
    <xf numFmtId="0" fontId="1" fillId="11" borderId="5" xfId="2" applyFill="1" applyBorder="1" applyAlignment="1">
      <alignment horizontal="left" indent="1"/>
    </xf>
    <xf numFmtId="0" fontId="1" fillId="11" borderId="7" xfId="2" applyFill="1" applyBorder="1"/>
    <xf numFmtId="0" fontId="23" fillId="0" borderId="0" xfId="2" applyFont="1" applyAlignment="1">
      <alignment horizontal="center" vertical="center"/>
    </xf>
    <xf numFmtId="0" fontId="1" fillId="0" borderId="0" xfId="2" applyAlignment="1">
      <alignment horizontal="center" vertical="center"/>
    </xf>
    <xf numFmtId="1" fontId="44" fillId="0" borderId="0" xfId="2" applyNumberFormat="1" applyFont="1" applyAlignment="1">
      <alignment horizontal="center" vertical="center" wrapText="1"/>
    </xf>
    <xf numFmtId="1" fontId="1" fillId="0" borderId="0" xfId="2" applyNumberFormat="1" applyAlignment="1">
      <alignment horizontal="center" vertical="center"/>
    </xf>
    <xf numFmtId="0" fontId="9" fillId="0" borderId="0" xfId="0" applyFont="1" applyAlignment="1">
      <alignment horizontal="center" shrinkToFit="1"/>
    </xf>
    <xf numFmtId="164" fontId="1" fillId="0" borderId="0" xfId="2" applyNumberFormat="1" applyAlignment="1">
      <alignment horizontal="center"/>
    </xf>
    <xf numFmtId="1" fontId="1" fillId="12" borderId="0" xfId="2" applyNumberFormat="1" applyFill="1"/>
    <xf numFmtId="1" fontId="1" fillId="0" borderId="0" xfId="2" applyNumberFormat="1" applyAlignment="1">
      <alignment horizontal="center"/>
    </xf>
    <xf numFmtId="2" fontId="55" fillId="0" borderId="0" xfId="2" applyNumberFormat="1" applyFont="1" applyAlignment="1">
      <alignment horizontal="center"/>
    </xf>
    <xf numFmtId="0" fontId="55" fillId="0" borderId="0" xfId="0" applyFont="1" applyAlignment="1">
      <alignment horizontal="center"/>
    </xf>
    <xf numFmtId="0" fontId="55" fillId="0" borderId="0" xfId="0" applyFont="1"/>
    <xf numFmtId="1" fontId="55"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0" fontId="46" fillId="0" borderId="0" xfId="3" applyNumberFormat="1" applyFont="1" applyBorder="1" applyAlignment="1">
      <alignment horizontal="center"/>
    </xf>
    <xf numFmtId="1" fontId="46" fillId="0" borderId="15" xfId="2" applyNumberFormat="1" applyFont="1" applyBorder="1"/>
    <xf numFmtId="1" fontId="46" fillId="4" borderId="15" xfId="2" applyNumberFormat="1" applyFont="1" applyFill="1" applyBorder="1" applyAlignment="1">
      <alignment horizontal="center"/>
    </xf>
    <xf numFmtId="0" fontId="9" fillId="0" borderId="6" xfId="0" applyFont="1" applyBorder="1" applyAlignment="1">
      <alignment shrinkToFit="1"/>
    </xf>
    <xf numFmtId="0" fontId="1" fillId="0" borderId="6" xfId="2" applyBorder="1"/>
    <xf numFmtId="1" fontId="46" fillId="0" borderId="6" xfId="2" applyNumberFormat="1" applyFont="1" applyBorder="1"/>
    <xf numFmtId="2" fontId="46" fillId="0" borderId="0" xfId="2" applyNumberFormat="1" applyFont="1"/>
    <xf numFmtId="17" fontId="1" fillId="0" borderId="0" xfId="2" applyNumberFormat="1" applyAlignment="1">
      <alignment horizontal="center"/>
    </xf>
    <xf numFmtId="0" fontId="23" fillId="0" borderId="0" xfId="2" applyFont="1" applyAlignment="1">
      <alignment horizontal="left" indent="1"/>
    </xf>
    <xf numFmtId="9" fontId="6" fillId="0" borderId="0" xfId="2" applyNumberFormat="1" applyFont="1" applyAlignment="1">
      <alignment horizontal="center"/>
    </xf>
    <xf numFmtId="0" fontId="56" fillId="0" borderId="0" xfId="2" applyFont="1" applyAlignment="1">
      <alignment horizontal="left"/>
    </xf>
    <xf numFmtId="1" fontId="5" fillId="0" borderId="0" xfId="0" applyNumberFormat="1" applyFont="1" applyAlignment="1">
      <alignment horizontal="center"/>
    </xf>
    <xf numFmtId="2" fontId="10" fillId="0" borderId="0" xfId="2" applyNumberFormat="1" applyFont="1" applyAlignment="1">
      <alignment horizontal="center"/>
    </xf>
    <xf numFmtId="0" fontId="10" fillId="0" borderId="0" xfId="0" applyFont="1"/>
    <xf numFmtId="1" fontId="10" fillId="0" borderId="0" xfId="0" applyNumberFormat="1" applyFont="1" applyAlignment="1">
      <alignment horizontal="center"/>
    </xf>
    <xf numFmtId="164" fontId="57" fillId="12" borderId="0" xfId="2" applyNumberFormat="1" applyFont="1" applyFill="1" applyAlignment="1">
      <alignment horizontal="center"/>
    </xf>
    <xf numFmtId="1" fontId="56" fillId="0" borderId="0" xfId="2" applyNumberFormat="1" applyFont="1" applyAlignment="1">
      <alignment horizontal="left"/>
    </xf>
    <xf numFmtId="2" fontId="46" fillId="0" borderId="0" xfId="2" applyNumberFormat="1" applyFont="1" applyAlignment="1">
      <alignment horizontal="center"/>
    </xf>
    <xf numFmtId="1" fontId="56" fillId="0" borderId="0" xfId="2" applyNumberFormat="1" applyFont="1" applyAlignment="1">
      <alignment horizontal="right"/>
    </xf>
    <xf numFmtId="1" fontId="1" fillId="0" borderId="0" xfId="2" applyNumberFormat="1" applyAlignment="1">
      <alignment horizontal="right"/>
    </xf>
    <xf numFmtId="0" fontId="5" fillId="0" borderId="6" xfId="0" applyFont="1" applyBorder="1"/>
    <xf numFmtId="0" fontId="23" fillId="0" borderId="6" xfId="2" applyFont="1" applyBorder="1"/>
    <xf numFmtId="1" fontId="1" fillId="0" borderId="6" xfId="2" applyNumberFormat="1" applyBorder="1" applyAlignment="1">
      <alignment horizontal="right"/>
    </xf>
    <xf numFmtId="1" fontId="1" fillId="0" borderId="6" xfId="2" applyNumberFormat="1" applyBorder="1"/>
    <xf numFmtId="2" fontId="46" fillId="0" borderId="6" xfId="2" applyNumberFormat="1" applyFont="1" applyBorder="1" applyAlignment="1">
      <alignment horizontal="center"/>
    </xf>
    <xf numFmtId="14" fontId="1" fillId="0" borderId="0" xfId="2" applyNumberFormat="1" applyAlignment="1">
      <alignment horizontal="center"/>
    </xf>
    <xf numFmtId="2" fontId="58" fillId="0" borderId="0" xfId="2" applyNumberFormat="1" applyFont="1" applyAlignment="1">
      <alignment horizontal="center"/>
    </xf>
    <xf numFmtId="0" fontId="58" fillId="0" borderId="0" xfId="0" applyFont="1" applyAlignment="1">
      <alignment horizontal="center"/>
    </xf>
    <xf numFmtId="0" fontId="58" fillId="0" borderId="0" xfId="0" applyFont="1"/>
    <xf numFmtId="1" fontId="58" fillId="0" borderId="0" xfId="0" applyNumberFormat="1" applyFont="1" applyAlignment="1">
      <alignment horizontal="center"/>
    </xf>
    <xf numFmtId="17" fontId="1" fillId="0" borderId="0" xfId="2" applyNumberFormat="1"/>
    <xf numFmtId="0" fontId="59" fillId="0" borderId="1" xfId="2" applyFont="1" applyBorder="1"/>
    <xf numFmtId="0" fontId="15" fillId="0" borderId="2" xfId="0" applyFont="1" applyBorder="1"/>
    <xf numFmtId="0" fontId="60" fillId="0" borderId="2" xfId="0" applyFont="1" applyBorder="1" applyAlignment="1">
      <alignment horizontal="center"/>
    </xf>
    <xf numFmtId="0" fontId="60" fillId="0" borderId="3" xfId="0" applyFont="1" applyBorder="1" applyAlignment="1">
      <alignment horizontal="center"/>
    </xf>
    <xf numFmtId="0" fontId="61" fillId="0" borderId="0" xfId="0" applyFont="1"/>
    <xf numFmtId="0" fontId="10" fillId="0" borderId="9" xfId="2" applyFont="1" applyBorder="1"/>
    <xf numFmtId="0" fontId="22" fillId="0" borderId="0" xfId="2" applyFont="1"/>
    <xf numFmtId="0" fontId="62" fillId="0" borderId="9" xfId="0" applyFont="1" applyBorder="1" applyAlignment="1">
      <alignment horizontal="center" vertical="center"/>
    </xf>
    <xf numFmtId="0" fontId="64" fillId="0" borderId="0" xfId="0" applyFont="1" applyAlignment="1">
      <alignment horizontal="left" vertical="top" wrapText="1"/>
    </xf>
    <xf numFmtId="0" fontId="64" fillId="0" borderId="11" xfId="0" applyFont="1" applyBorder="1" applyAlignment="1">
      <alignment horizontal="left" vertical="top" wrapText="1"/>
    </xf>
    <xf numFmtId="0" fontId="17" fillId="0" borderId="0" xfId="2" applyFont="1" applyAlignment="1">
      <alignment horizontal="left" vertical="center"/>
    </xf>
    <xf numFmtId="0" fontId="15" fillId="0" borderId="9" xfId="0" applyFont="1" applyBorder="1" applyAlignment="1">
      <alignment shrinkToFit="1"/>
    </xf>
    <xf numFmtId="0" fontId="65" fillId="0" borderId="0" xfId="0" applyFont="1" applyAlignment="1">
      <alignment horizontal="left" vertical="top" wrapText="1"/>
    </xf>
    <xf numFmtId="0" fontId="65" fillId="0" borderId="11" xfId="0" applyFont="1" applyBorder="1" applyAlignment="1">
      <alignment horizontal="left" vertical="top" wrapText="1"/>
    </xf>
    <xf numFmtId="0" fontId="15" fillId="0" borderId="5" xfId="0" applyFont="1" applyBorder="1" applyAlignment="1">
      <alignment shrinkToFit="1"/>
    </xf>
    <xf numFmtId="0" fontId="64" fillId="0" borderId="6" xfId="0" applyFont="1" applyBorder="1" applyAlignment="1">
      <alignment horizontal="left" vertical="top" wrapText="1"/>
    </xf>
    <xf numFmtId="0" fontId="15" fillId="0" borderId="7" xfId="0" applyFont="1" applyBorder="1"/>
    <xf numFmtId="0" fontId="15" fillId="0" borderId="0" xfId="0" applyFont="1" applyAlignment="1">
      <alignment shrinkToFit="1"/>
    </xf>
    <xf numFmtId="0" fontId="64" fillId="0" borderId="0" xfId="0" applyFont="1" applyAlignment="1">
      <alignment horizontal="left" vertical="top" wrapText="1"/>
    </xf>
    <xf numFmtId="0" fontId="64" fillId="0" borderId="2" xfId="0" applyFont="1" applyBorder="1" applyAlignment="1">
      <alignment horizontal="left" vertical="top" wrapText="1"/>
    </xf>
    <xf numFmtId="0" fontId="67" fillId="0" borderId="2" xfId="0" applyFont="1" applyBorder="1" applyAlignment="1">
      <alignment horizontal="center"/>
    </xf>
    <xf numFmtId="0" fontId="67" fillId="0" borderId="3" xfId="0" applyFont="1" applyBorder="1" applyAlignment="1">
      <alignment horizontal="center"/>
    </xf>
    <xf numFmtId="0" fontId="68" fillId="0" borderId="0" xfId="2" applyFont="1"/>
    <xf numFmtId="0" fontId="5" fillId="0" borderId="0" xfId="2" applyFont="1" applyAlignment="1">
      <alignment horizontal="right"/>
    </xf>
    <xf numFmtId="0" fontId="5" fillId="0" borderId="11" xfId="0" applyFont="1" applyBorder="1"/>
    <xf numFmtId="0" fontId="15" fillId="0" borderId="0" xfId="2" applyFont="1"/>
    <xf numFmtId="0" fontId="9" fillId="0" borderId="0" xfId="2" applyFont="1"/>
    <xf numFmtId="0" fontId="9" fillId="0" borderId="5" xfId="0" applyFont="1" applyBorder="1" applyAlignment="1">
      <alignment shrinkToFit="1"/>
    </xf>
    <xf numFmtId="0" fontId="15" fillId="0" borderId="6" xfId="2" applyFont="1" applyBorder="1"/>
    <xf numFmtId="0" fontId="5" fillId="0" borderId="7" xfId="0" applyFont="1" applyBorder="1"/>
    <xf numFmtId="0" fontId="60" fillId="0" borderId="1" xfId="2" applyFont="1" applyBorder="1"/>
    <xf numFmtId="0" fontId="23" fillId="0" borderId="2" xfId="2" applyFont="1" applyBorder="1" applyAlignment="1">
      <alignment horizontal="center"/>
    </xf>
    <xf numFmtId="0" fontId="1" fillId="0" borderId="2" xfId="2" applyBorder="1" applyAlignment="1">
      <alignment horizontal="center"/>
    </xf>
    <xf numFmtId="0" fontId="50" fillId="0" borderId="2" xfId="2" applyFont="1" applyBorder="1"/>
    <xf numFmtId="0" fontId="5" fillId="0" borderId="2" xfId="0" applyFont="1" applyBorder="1"/>
    <xf numFmtId="0" fontId="5" fillId="0" borderId="3" xfId="0" applyFont="1" applyBorder="1"/>
    <xf numFmtId="0" fontId="5" fillId="0" borderId="9" xfId="2" applyFont="1" applyBorder="1" applyAlignment="1">
      <alignment horizontal="left" indent="1"/>
    </xf>
    <xf numFmtId="0" fontId="5" fillId="0" borderId="0" xfId="2" applyFont="1" applyAlignment="1">
      <alignment horizontal="left" indent="1"/>
    </xf>
    <xf numFmtId="0" fontId="1" fillId="0" borderId="0" xfId="2" applyAlignment="1">
      <alignment horizontal="right"/>
    </xf>
    <xf numFmtId="0" fontId="60" fillId="0" borderId="9" xfId="2" applyFont="1" applyBorder="1"/>
    <xf numFmtId="0" fontId="8" fillId="0" borderId="0" xfId="2" applyFont="1" applyAlignment="1">
      <alignment horizontal="left"/>
    </xf>
    <xf numFmtId="0" fontId="1" fillId="0" borderId="0" xfId="2" applyAlignment="1">
      <alignment horizontal="left" indent="1"/>
    </xf>
    <xf numFmtId="0" fontId="60" fillId="0" borderId="5" xfId="2" applyFont="1" applyBorder="1"/>
    <xf numFmtId="0" fontId="69" fillId="0" borderId="6" xfId="2" applyFont="1" applyBorder="1"/>
    <xf numFmtId="0" fontId="1" fillId="0" borderId="6" xfId="2" applyBorder="1" applyAlignment="1">
      <alignment horizontal="right"/>
    </xf>
    <xf numFmtId="0" fontId="16" fillId="0" borderId="0" xfId="2" applyFont="1"/>
  </cellXfs>
  <cellStyles count="4">
    <cellStyle name="Normal" xfId="0" builtinId="0"/>
    <cellStyle name="Normal 2 2" xfId="2" xr:uid="{E6AAB461-3D1F-41C0-A839-06095CF77564}"/>
    <cellStyle name="Percent" xfId="1" builtinId="5"/>
    <cellStyle name="Percent 2" xfId="3" xr:uid="{8ED4161C-A332-45E6-B49F-55BA047067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FA1B-2AB1-4085-9154-1B2BA1D31344}">
  <sheetPr>
    <pageSetUpPr fitToPage="1"/>
  </sheetPr>
  <dimension ref="A1:N141"/>
  <sheetViews>
    <sheetView showZeros="0" tabSelected="1" zoomScale="120" workbookViewId="0">
      <selection activeCell="D3" sqref="D3"/>
    </sheetView>
  </sheetViews>
  <sheetFormatPr defaultColWidth="9.109375" defaultRowHeight="15" customHeight="1" x14ac:dyDescent="0.25"/>
  <cols>
    <col min="1" max="1" width="4" style="84" customWidth="1"/>
    <col min="2" max="2" width="9.6640625" style="7" customWidth="1"/>
    <col min="3" max="3" width="10.6640625" style="7" customWidth="1"/>
    <col min="4" max="4" width="16.33203125" style="7" customWidth="1"/>
    <col min="5" max="5" width="15.88671875" style="7" customWidth="1"/>
    <col min="6" max="6" width="10.44140625" style="7" customWidth="1"/>
    <col min="7" max="7" width="11.5546875" style="7" customWidth="1"/>
    <col min="8" max="8" width="12.6640625" style="7" customWidth="1"/>
    <col min="9" max="9" width="3.44140625" style="7" customWidth="1"/>
    <col min="10" max="10" width="4.109375" style="8" customWidth="1"/>
    <col min="11" max="11" width="28.5546875" style="7" customWidth="1"/>
    <col min="12" max="12" width="10.109375" style="7" customWidth="1"/>
    <col min="13" max="13" width="10" style="7" customWidth="1"/>
    <col min="14" max="14" width="11" style="7" customWidth="1"/>
    <col min="15" max="16384" width="9.109375" style="7"/>
  </cols>
  <sheetData>
    <row r="1" spans="1:14" s="10" customFormat="1" ht="14.25" customHeight="1" x14ac:dyDescent="0.25">
      <c r="A1" s="1" t="s">
        <v>0</v>
      </c>
      <c r="B1" s="2"/>
      <c r="C1" s="2"/>
      <c r="D1" s="3" t="s">
        <v>1</v>
      </c>
      <c r="E1" s="3"/>
      <c r="F1" s="3"/>
      <c r="G1" s="3"/>
      <c r="H1" s="3"/>
      <c r="I1" s="4"/>
      <c r="J1" s="5"/>
      <c r="K1" s="6" t="str">
        <f>+D2</f>
        <v>Case Study-2</v>
      </c>
      <c r="L1" s="7"/>
      <c r="M1" s="8" t="s">
        <v>2</v>
      </c>
      <c r="N1" s="9" t="s">
        <v>3</v>
      </c>
    </row>
    <row r="2" spans="1:14" ht="15" customHeight="1" thickBot="1" x14ac:dyDescent="0.3">
      <c r="A2" s="11" t="s">
        <v>4</v>
      </c>
      <c r="B2" s="12"/>
      <c r="C2" s="12"/>
      <c r="D2" s="13" t="s">
        <v>5</v>
      </c>
      <c r="E2" s="14" t="s">
        <v>6</v>
      </c>
      <c r="F2" s="15" t="s">
        <v>7</v>
      </c>
      <c r="G2" s="15"/>
      <c r="H2" s="16">
        <v>25896</v>
      </c>
      <c r="I2" s="17">
        <f>IF(H2&lt;22008,"Sr",0)</f>
        <v>0</v>
      </c>
      <c r="K2" s="18" t="s">
        <v>8</v>
      </c>
      <c r="L2" s="7">
        <v>4800000</v>
      </c>
      <c r="N2" s="19">
        <v>44379</v>
      </c>
    </row>
    <row r="3" spans="1:14" ht="15" customHeight="1" x14ac:dyDescent="0.25">
      <c r="A3" s="20"/>
      <c r="B3" s="21" t="s">
        <v>9</v>
      </c>
      <c r="D3" s="7" t="s">
        <v>10</v>
      </c>
      <c r="G3" s="22"/>
      <c r="H3" s="23" t="s">
        <v>11</v>
      </c>
      <c r="I3" s="24"/>
      <c r="J3" s="8" t="s">
        <v>12</v>
      </c>
      <c r="K3" s="7" t="s">
        <v>13</v>
      </c>
      <c r="L3" s="7">
        <v>46000</v>
      </c>
      <c r="M3" s="7">
        <v>42000</v>
      </c>
      <c r="N3" s="25" t="s">
        <v>14</v>
      </c>
    </row>
    <row r="4" spans="1:14" ht="15" customHeight="1" x14ac:dyDescent="0.25">
      <c r="A4" s="26"/>
      <c r="B4" s="27" t="s">
        <v>15</v>
      </c>
      <c r="C4" s="28" t="s">
        <v>16</v>
      </c>
      <c r="G4" s="29">
        <f>+L10</f>
        <v>4951500</v>
      </c>
      <c r="H4" s="30"/>
      <c r="I4" s="31"/>
      <c r="K4" s="7" t="s">
        <v>17</v>
      </c>
      <c r="L4" s="7">
        <v>26000</v>
      </c>
      <c r="N4" s="32">
        <v>44561</v>
      </c>
    </row>
    <row r="5" spans="1:14" ht="15" customHeight="1" x14ac:dyDescent="0.25">
      <c r="A5" s="26"/>
      <c r="B5" s="27" t="s">
        <v>18</v>
      </c>
      <c r="C5" s="28" t="s">
        <v>19</v>
      </c>
      <c r="G5" s="29">
        <f>+L11+L12</f>
        <v>97000</v>
      </c>
      <c r="H5" s="30"/>
      <c r="I5" s="31"/>
      <c r="J5" s="8" t="s">
        <v>20</v>
      </c>
      <c r="K5" s="7" t="s">
        <v>21</v>
      </c>
      <c r="L5" s="7">
        <v>1500</v>
      </c>
      <c r="M5" s="7">
        <v>1500</v>
      </c>
      <c r="N5" s="33" t="s">
        <v>22</v>
      </c>
    </row>
    <row r="6" spans="1:14" ht="15" customHeight="1" thickBot="1" x14ac:dyDescent="0.3">
      <c r="A6" s="26"/>
      <c r="B6" s="27" t="s">
        <v>23</v>
      </c>
      <c r="C6" s="28" t="s">
        <v>24</v>
      </c>
      <c r="G6" s="34">
        <v>0</v>
      </c>
      <c r="H6" s="30"/>
      <c r="I6" s="31"/>
      <c r="K6" s="35" t="s">
        <v>25</v>
      </c>
      <c r="L6" s="36">
        <v>18000</v>
      </c>
      <c r="N6" s="37">
        <v>44471</v>
      </c>
    </row>
    <row r="7" spans="1:14" ht="15" customHeight="1" x14ac:dyDescent="0.25">
      <c r="A7" s="26"/>
      <c r="B7" s="21"/>
      <c r="C7" s="28"/>
      <c r="F7" s="38" t="s">
        <v>26</v>
      </c>
      <c r="G7" s="39">
        <f>G4+G5+G6</f>
        <v>5048500</v>
      </c>
      <c r="H7" s="30"/>
      <c r="I7" s="31"/>
      <c r="K7" s="35" t="s">
        <v>27</v>
      </c>
      <c r="L7" s="36">
        <v>12000</v>
      </c>
      <c r="N7" s="40" t="s">
        <v>28</v>
      </c>
    </row>
    <row r="8" spans="1:14" ht="15" customHeight="1" x14ac:dyDescent="0.25">
      <c r="A8" s="26"/>
      <c r="B8" s="41" t="s">
        <v>29</v>
      </c>
      <c r="C8" s="28" t="s">
        <v>30</v>
      </c>
      <c r="E8" s="7" t="s">
        <v>31</v>
      </c>
      <c r="G8" s="34">
        <f>M11+M3+M5</f>
        <v>99500</v>
      </c>
      <c r="H8" s="30"/>
      <c r="I8" s="31"/>
      <c r="K8" s="35" t="s">
        <v>32</v>
      </c>
      <c r="L8" s="36">
        <v>36000</v>
      </c>
      <c r="N8" s="42" t="s">
        <v>33</v>
      </c>
    </row>
    <row r="9" spans="1:14" ht="15" customHeight="1" thickBot="1" x14ac:dyDescent="0.3">
      <c r="A9" s="26"/>
      <c r="B9" s="21"/>
      <c r="F9" s="38" t="s">
        <v>34</v>
      </c>
      <c r="G9" s="43">
        <f>G7-G8</f>
        <v>4949000</v>
      </c>
      <c r="H9" s="30"/>
      <c r="I9" s="31"/>
      <c r="K9" s="7" t="s">
        <v>35</v>
      </c>
      <c r="L9" s="7">
        <v>12000</v>
      </c>
      <c r="N9" s="44">
        <v>5000</v>
      </c>
    </row>
    <row r="10" spans="1:14" ht="15" customHeight="1" thickBot="1" x14ac:dyDescent="0.3">
      <c r="A10" s="26"/>
      <c r="B10" s="27" t="s">
        <v>36</v>
      </c>
      <c r="C10" s="45" t="s">
        <v>37</v>
      </c>
      <c r="G10" s="34">
        <v>50000</v>
      </c>
      <c r="H10" s="30">
        <f>G9-G10</f>
        <v>4899000</v>
      </c>
      <c r="I10" s="31"/>
      <c r="L10" s="46">
        <f>SUM(L2:L9)</f>
        <v>4951500</v>
      </c>
      <c r="M10" s="46">
        <f>SUM(M2:M9)</f>
        <v>43500</v>
      </c>
    </row>
    <row r="11" spans="1:14" ht="21" customHeight="1" thickTop="1" x14ac:dyDescent="0.25">
      <c r="A11" s="26"/>
      <c r="B11" s="21" t="s">
        <v>38</v>
      </c>
      <c r="E11" s="47" t="s">
        <v>39</v>
      </c>
      <c r="G11" s="22"/>
      <c r="H11" s="30"/>
      <c r="I11" s="31"/>
      <c r="K11" s="18" t="s">
        <v>40</v>
      </c>
      <c r="L11" s="7">
        <v>71000</v>
      </c>
      <c r="M11" s="7">
        <v>56000</v>
      </c>
    </row>
    <row r="12" spans="1:14" ht="15" customHeight="1" x14ac:dyDescent="0.25">
      <c r="A12" s="26"/>
      <c r="C12" s="48" t="s">
        <v>41</v>
      </c>
      <c r="D12" s="28"/>
      <c r="E12" s="49"/>
      <c r="F12" s="8"/>
      <c r="G12" s="50" t="s">
        <v>42</v>
      </c>
      <c r="H12" s="51"/>
      <c r="I12" s="31"/>
      <c r="J12" s="52"/>
      <c r="K12" s="7" t="s">
        <v>43</v>
      </c>
      <c r="L12" s="7">
        <v>26000</v>
      </c>
    </row>
    <row r="13" spans="1:14" ht="15" customHeight="1" x14ac:dyDescent="0.25">
      <c r="A13" s="26"/>
      <c r="C13" s="53" t="s">
        <v>44</v>
      </c>
      <c r="D13" s="28"/>
      <c r="E13" s="49"/>
      <c r="F13" s="8"/>
      <c r="G13" s="54" t="s">
        <v>42</v>
      </c>
      <c r="H13" s="51"/>
      <c r="I13" s="31"/>
    </row>
    <row r="14" spans="1:14" ht="15" customHeight="1" x14ac:dyDescent="0.25">
      <c r="A14" s="26"/>
      <c r="C14" s="48"/>
      <c r="D14" s="28"/>
      <c r="F14" s="8"/>
      <c r="G14" s="55" t="s">
        <v>42</v>
      </c>
      <c r="H14" s="51"/>
      <c r="I14" s="31"/>
    </row>
    <row r="15" spans="1:14" ht="15" customHeight="1" x14ac:dyDescent="0.25">
      <c r="A15" s="26"/>
      <c r="B15" s="56" t="s">
        <v>45</v>
      </c>
      <c r="C15" s="45" t="s">
        <v>46</v>
      </c>
      <c r="E15" s="45" t="s">
        <v>47</v>
      </c>
      <c r="F15" s="45" t="s">
        <v>48</v>
      </c>
      <c r="G15" s="57">
        <v>200000</v>
      </c>
      <c r="H15" s="51">
        <f>0-200000</f>
        <v>-200000</v>
      </c>
      <c r="I15" s="31"/>
      <c r="K15" s="58" t="s">
        <v>49</v>
      </c>
      <c r="L15" s="58">
        <v>395000</v>
      </c>
    </row>
    <row r="16" spans="1:14" ht="15" customHeight="1" x14ac:dyDescent="0.25">
      <c r="A16" s="26"/>
      <c r="B16" s="21" t="s">
        <v>50</v>
      </c>
      <c r="H16" s="51"/>
      <c r="I16" s="31"/>
    </row>
    <row r="17" spans="1:13" ht="15" customHeight="1" x14ac:dyDescent="0.25">
      <c r="A17" s="26"/>
      <c r="C17" s="45" t="s">
        <v>51</v>
      </c>
      <c r="G17" s="59"/>
      <c r="H17" s="51"/>
      <c r="I17" s="31"/>
    </row>
    <row r="18" spans="1:13" ht="15" customHeight="1" x14ac:dyDescent="0.25">
      <c r="A18" s="26"/>
      <c r="C18" s="45" t="s">
        <v>52</v>
      </c>
      <c r="G18" s="60"/>
      <c r="H18" s="51">
        <f>G17+G18</f>
        <v>0</v>
      </c>
      <c r="I18" s="31"/>
    </row>
    <row r="19" spans="1:13" ht="15" customHeight="1" x14ac:dyDescent="0.25">
      <c r="A19" s="26"/>
      <c r="B19" s="21" t="s">
        <v>53</v>
      </c>
      <c r="H19" s="51"/>
      <c r="I19" s="31"/>
    </row>
    <row r="20" spans="1:13" ht="15" customHeight="1" x14ac:dyDescent="0.25">
      <c r="A20" s="26"/>
      <c r="B20" s="61"/>
      <c r="C20" s="48" t="s">
        <v>54</v>
      </c>
      <c r="D20" s="27"/>
      <c r="E20" s="27"/>
      <c r="F20" s="45"/>
      <c r="G20" s="59">
        <f>+L20</f>
        <v>28400</v>
      </c>
      <c r="H20" s="51"/>
      <c r="I20" s="31"/>
      <c r="K20" s="7" t="s">
        <v>54</v>
      </c>
      <c r="L20" s="7">
        <v>28400</v>
      </c>
    </row>
    <row r="21" spans="1:13" ht="15" customHeight="1" x14ac:dyDescent="0.25">
      <c r="A21" s="26"/>
      <c r="B21" s="61"/>
      <c r="C21" s="45" t="s">
        <v>55</v>
      </c>
      <c r="D21" s="27"/>
      <c r="E21" s="27"/>
      <c r="F21" s="45"/>
      <c r="G21" s="59">
        <f>L21*100/90</f>
        <v>3000000</v>
      </c>
      <c r="H21" s="51"/>
      <c r="I21" s="31"/>
      <c r="K21" s="7" t="s">
        <v>56</v>
      </c>
      <c r="L21" s="7">
        <v>2700000</v>
      </c>
    </row>
    <row r="22" spans="1:13" ht="15" customHeight="1" x14ac:dyDescent="0.25">
      <c r="A22" s="26"/>
      <c r="B22" s="62">
        <v>43997</v>
      </c>
      <c r="C22" s="45" t="s">
        <v>57</v>
      </c>
      <c r="D22" s="27"/>
      <c r="E22" s="27"/>
      <c r="F22" s="45"/>
      <c r="G22" s="57">
        <f>+L22</f>
        <v>4750</v>
      </c>
      <c r="H22" s="51">
        <f>G20+G21+G22</f>
        <v>3033150</v>
      </c>
      <c r="I22" s="31"/>
      <c r="K22" s="45" t="s">
        <v>58</v>
      </c>
      <c r="L22" s="7">
        <v>4750</v>
      </c>
      <c r="M22" s="8" t="s">
        <v>59</v>
      </c>
    </row>
    <row r="23" spans="1:13" ht="15" customHeight="1" x14ac:dyDescent="0.25">
      <c r="A23" s="26"/>
      <c r="B23" s="61"/>
      <c r="G23" s="18"/>
      <c r="H23" s="51"/>
      <c r="I23" s="63"/>
    </row>
    <row r="24" spans="1:13" ht="15" customHeight="1" x14ac:dyDescent="0.25">
      <c r="A24" s="26"/>
      <c r="B24" s="21" t="s">
        <v>60</v>
      </c>
      <c r="E24" s="8"/>
      <c r="F24" s="8"/>
      <c r="G24" s="30"/>
      <c r="H24" s="64">
        <f>SUM(H4:H23)</f>
        <v>7732150</v>
      </c>
      <c r="I24" s="65"/>
    </row>
    <row r="25" spans="1:13" ht="15" customHeight="1" x14ac:dyDescent="0.25">
      <c r="A25" s="26"/>
      <c r="B25" s="66" t="s">
        <v>61</v>
      </c>
      <c r="H25" s="51"/>
      <c r="I25" s="31"/>
      <c r="K25" s="67" t="s">
        <v>62</v>
      </c>
      <c r="L25" s="67">
        <v>150000</v>
      </c>
    </row>
    <row r="26" spans="1:13" ht="15" customHeight="1" x14ac:dyDescent="0.25">
      <c r="A26" s="26"/>
      <c r="B26" s="68"/>
      <c r="C26" s="47" t="s">
        <v>63</v>
      </c>
      <c r="E26" s="69" t="s">
        <v>64</v>
      </c>
      <c r="G26" s="59">
        <f>+L25</f>
        <v>150000</v>
      </c>
      <c r="H26" s="51"/>
      <c r="I26" s="31"/>
      <c r="K26" s="67" t="s">
        <v>65</v>
      </c>
      <c r="L26" s="67">
        <v>50000</v>
      </c>
    </row>
    <row r="27" spans="1:13" ht="15" customHeight="1" x14ac:dyDescent="0.25">
      <c r="A27" s="26"/>
      <c r="B27" s="68"/>
      <c r="C27" s="47" t="s">
        <v>66</v>
      </c>
      <c r="E27" s="69" t="s">
        <v>67</v>
      </c>
      <c r="F27" s="70"/>
      <c r="G27" s="59">
        <f>+L26</f>
        <v>50000</v>
      </c>
      <c r="H27" s="51"/>
      <c r="I27" s="31"/>
      <c r="K27" s="67" t="s">
        <v>68</v>
      </c>
      <c r="L27" s="67"/>
    </row>
    <row r="28" spans="1:13" ht="15" customHeight="1" x14ac:dyDescent="0.25">
      <c r="A28" s="26"/>
      <c r="B28" s="68"/>
      <c r="C28" s="47" t="s">
        <v>69</v>
      </c>
      <c r="D28" s="45" t="s">
        <v>70</v>
      </c>
      <c r="E28" s="69" t="s">
        <v>71</v>
      </c>
      <c r="F28" s="70"/>
      <c r="G28" s="59">
        <v>25000</v>
      </c>
      <c r="H28" s="51"/>
      <c r="I28" s="31"/>
      <c r="K28" s="71" t="s">
        <v>72</v>
      </c>
      <c r="L28" s="67">
        <v>38000</v>
      </c>
    </row>
    <row r="29" spans="1:13" ht="15" customHeight="1" x14ac:dyDescent="0.25">
      <c r="A29" s="26"/>
      <c r="C29" s="47" t="s">
        <v>73</v>
      </c>
      <c r="D29" s="45" t="s">
        <v>74</v>
      </c>
      <c r="E29" s="69" t="s">
        <v>75</v>
      </c>
      <c r="F29" s="8"/>
      <c r="G29" s="57">
        <v>10000</v>
      </c>
      <c r="H29" s="51">
        <f>SUM(G26:G29)</f>
        <v>235000</v>
      </c>
      <c r="I29" s="31"/>
    </row>
    <row r="30" spans="1:13" ht="15" customHeight="1" thickBot="1" x14ac:dyDescent="0.3">
      <c r="A30" s="26"/>
      <c r="B30" s="72" t="s">
        <v>76</v>
      </c>
      <c r="E30" s="73">
        <f>IF((H24-H29)&lt;0,0,(H24-H29))</f>
        <v>7497150</v>
      </c>
      <c r="F30" s="74" t="s">
        <v>77</v>
      </c>
      <c r="G30" s="75"/>
      <c r="H30" s="76">
        <f>ROUND((E30/10),0)*10</f>
        <v>7497150</v>
      </c>
      <c r="I30" s="77"/>
      <c r="K30" s="8" t="s">
        <v>78</v>
      </c>
    </row>
    <row r="31" spans="1:13" ht="15" customHeight="1" thickTop="1" x14ac:dyDescent="0.25">
      <c r="A31" s="26"/>
      <c r="B31" s="70" t="s">
        <v>79</v>
      </c>
      <c r="E31" s="78" t="s">
        <v>80</v>
      </c>
      <c r="F31" s="79" t="s">
        <v>81</v>
      </c>
      <c r="G31" s="78" t="s">
        <v>82</v>
      </c>
      <c r="H31" s="80"/>
      <c r="I31" s="81"/>
      <c r="K31" s="82" t="s">
        <v>83</v>
      </c>
      <c r="L31" s="83">
        <v>0.05</v>
      </c>
      <c r="M31" s="7">
        <f>250000*5%</f>
        <v>12500</v>
      </c>
    </row>
    <row r="32" spans="1:13" ht="15" customHeight="1" x14ac:dyDescent="0.25">
      <c r="A32" s="26"/>
      <c r="B32" s="84"/>
      <c r="C32" s="45" t="s">
        <v>84</v>
      </c>
      <c r="E32" s="18">
        <f>H30</f>
        <v>7497150</v>
      </c>
      <c r="F32" s="85"/>
      <c r="G32" s="7">
        <f>IF(+I2="Sr",ROUND(IF(E32&gt;1000000,(((E32-1000000)*0.3)+110000),IF(E32&gt;500000,(((E32-500000)*0.2)+10000),IF(E32&gt;300000,((E32-300000)*0.05),0))),0),ROUND(IF(E32&gt;1000000,(((E32-1000000)*0.3)+112500),IF(E32&gt;500000,(((E32-500000)*0.2)+12500),IF(E32&gt;250000,((E32-250000)*0.05),0))),0))</f>
        <v>2061645</v>
      </c>
      <c r="H32" s="80"/>
      <c r="I32" s="81"/>
      <c r="K32" s="82" t="s">
        <v>85</v>
      </c>
      <c r="L32" s="83">
        <v>0.2</v>
      </c>
      <c r="M32" s="7">
        <f>500000*20%</f>
        <v>100000</v>
      </c>
    </row>
    <row r="33" spans="1:14" ht="15" customHeight="1" x14ac:dyDescent="0.25">
      <c r="A33" s="26"/>
      <c r="B33" s="45" t="s">
        <v>86</v>
      </c>
      <c r="C33" s="45" t="s">
        <v>87</v>
      </c>
      <c r="D33" s="85"/>
      <c r="E33" s="8"/>
      <c r="G33" s="86"/>
      <c r="H33" s="87">
        <f>+G32</f>
        <v>2061645</v>
      </c>
      <c r="I33" s="88"/>
      <c r="K33" s="82" t="s">
        <v>88</v>
      </c>
      <c r="L33" s="83">
        <v>0.3</v>
      </c>
      <c r="M33" s="7">
        <f>ROUND((H30-1000000)*30%,0)</f>
        <v>1949145</v>
      </c>
    </row>
    <row r="34" spans="1:14" ht="15" customHeight="1" thickBot="1" x14ac:dyDescent="0.3">
      <c r="A34" s="26"/>
      <c r="B34" s="7" t="s">
        <v>89</v>
      </c>
      <c r="C34" s="45"/>
      <c r="D34" s="85"/>
      <c r="E34" s="8"/>
      <c r="G34" s="89">
        <v>0.1</v>
      </c>
      <c r="H34" s="90">
        <f>IF(H30&gt;10000000,H33*15%,IF(H30&gt;5000000,H33*10%,0))</f>
        <v>206164.5</v>
      </c>
      <c r="I34" s="91"/>
      <c r="M34" s="92">
        <f>SUM(M31:M33)</f>
        <v>2061645</v>
      </c>
    </row>
    <row r="35" spans="1:14" ht="15" customHeight="1" thickTop="1" x14ac:dyDescent="0.25">
      <c r="A35" s="26"/>
      <c r="C35" s="45"/>
      <c r="D35" s="85"/>
      <c r="E35" s="8"/>
      <c r="G35" s="36"/>
      <c r="H35" s="87">
        <f>H33+H34</f>
        <v>2267809.5</v>
      </c>
      <c r="I35" s="88"/>
    </row>
    <row r="36" spans="1:14" ht="15" customHeight="1" x14ac:dyDescent="0.25">
      <c r="A36" s="26"/>
      <c r="B36" s="45" t="s">
        <v>90</v>
      </c>
      <c r="D36" s="85"/>
      <c r="E36" s="8"/>
      <c r="G36" s="89">
        <v>0.04</v>
      </c>
      <c r="H36" s="90">
        <f>ROUND((H35)*0.04,0)</f>
        <v>90712</v>
      </c>
      <c r="I36" s="91"/>
      <c r="K36" s="93" t="s">
        <v>91</v>
      </c>
      <c r="L36" s="94" t="s">
        <v>92</v>
      </c>
      <c r="M36" s="94" t="s">
        <v>93</v>
      </c>
    </row>
    <row r="37" spans="1:14" ht="15" customHeight="1" x14ac:dyDescent="0.25">
      <c r="A37" s="26"/>
      <c r="B37" s="70" t="s">
        <v>94</v>
      </c>
      <c r="D37" s="85"/>
      <c r="E37" s="74"/>
      <c r="G37" s="8"/>
      <c r="H37" s="95">
        <f>SUM(H35:H36)</f>
        <v>2358521.5</v>
      </c>
      <c r="I37" s="96"/>
      <c r="K37" s="97" t="s">
        <v>95</v>
      </c>
      <c r="L37" s="98">
        <v>400000</v>
      </c>
      <c r="M37" s="99">
        <v>4670000</v>
      </c>
      <c r="N37" s="52" t="s">
        <v>96</v>
      </c>
    </row>
    <row r="38" spans="1:14" ht="15" customHeight="1" x14ac:dyDescent="0.3">
      <c r="A38" s="26"/>
      <c r="B38" s="45" t="s">
        <v>97</v>
      </c>
      <c r="D38" s="85"/>
      <c r="E38" s="100" t="s">
        <v>98</v>
      </c>
      <c r="G38" s="101"/>
      <c r="H38" s="95">
        <f>+H65</f>
        <v>93027</v>
      </c>
      <c r="I38" s="96"/>
      <c r="J38" s="52"/>
      <c r="K38" s="97" t="s">
        <v>99</v>
      </c>
      <c r="L38" s="98">
        <v>2965000</v>
      </c>
      <c r="M38" s="99">
        <v>97000000</v>
      </c>
      <c r="N38" s="52" t="s">
        <v>100</v>
      </c>
    </row>
    <row r="39" spans="1:14" ht="15" customHeight="1" x14ac:dyDescent="0.25">
      <c r="A39" s="26"/>
      <c r="B39" s="45" t="s">
        <v>101</v>
      </c>
      <c r="C39" s="8"/>
      <c r="D39" s="8"/>
      <c r="E39" s="8"/>
      <c r="G39" s="101" t="s">
        <v>102</v>
      </c>
      <c r="H39" s="102"/>
      <c r="I39" s="103"/>
      <c r="J39" s="52"/>
      <c r="K39" s="97" t="s">
        <v>103</v>
      </c>
      <c r="L39" s="98">
        <v>295000</v>
      </c>
      <c r="M39" s="99">
        <v>4986000</v>
      </c>
      <c r="N39" s="52" t="s">
        <v>96</v>
      </c>
    </row>
    <row r="40" spans="1:14" ht="15" customHeight="1" x14ac:dyDescent="0.25">
      <c r="A40" s="26"/>
      <c r="B40" s="70" t="s">
        <v>104</v>
      </c>
      <c r="C40" s="8"/>
      <c r="D40" s="8"/>
      <c r="E40" s="8"/>
      <c r="F40" s="8"/>
      <c r="G40" s="8"/>
      <c r="H40" s="51">
        <f>H37+H38+H39</f>
        <v>2451548.5</v>
      </c>
      <c r="I40" s="31"/>
      <c r="K40" s="97" t="s">
        <v>105</v>
      </c>
      <c r="L40" s="98">
        <v>83600</v>
      </c>
      <c r="M40" s="98"/>
    </row>
    <row r="41" spans="1:14" ht="15" customHeight="1" thickBot="1" x14ac:dyDescent="0.3">
      <c r="A41" s="26"/>
      <c r="B41" s="21" t="s">
        <v>106</v>
      </c>
      <c r="C41" s="8"/>
      <c r="D41" s="8"/>
      <c r="E41" s="8"/>
      <c r="F41" s="8"/>
      <c r="G41" s="8"/>
      <c r="H41" s="51"/>
      <c r="I41" s="31"/>
      <c r="K41" s="97"/>
      <c r="L41" s="104">
        <f>SUM(L37:L40)</f>
        <v>3743600</v>
      </c>
      <c r="M41" s="97"/>
    </row>
    <row r="42" spans="1:14" ht="15" customHeight="1" thickTop="1" x14ac:dyDescent="0.3">
      <c r="A42" s="26"/>
      <c r="B42" s="105">
        <v>44113</v>
      </c>
      <c r="C42" s="106" t="s">
        <v>107</v>
      </c>
      <c r="D42" s="106"/>
      <c r="E42" s="107"/>
      <c r="F42" s="107"/>
      <c r="G42" s="108">
        <v>98000</v>
      </c>
      <c r="H42" s="51"/>
      <c r="I42" s="31"/>
    </row>
    <row r="43" spans="1:14" ht="15" customHeight="1" x14ac:dyDescent="0.3">
      <c r="A43" s="26"/>
      <c r="B43" s="105">
        <v>44316</v>
      </c>
      <c r="C43" s="109" t="s">
        <v>108</v>
      </c>
      <c r="D43" s="109"/>
      <c r="E43" s="109"/>
      <c r="F43" s="107"/>
      <c r="G43" s="108">
        <v>295000</v>
      </c>
      <c r="H43" s="51"/>
      <c r="I43" s="31"/>
      <c r="K43" s="110" t="s">
        <v>109</v>
      </c>
    </row>
    <row r="44" spans="1:14" ht="15" customHeight="1" x14ac:dyDescent="0.3">
      <c r="A44" s="26"/>
      <c r="B44" s="111"/>
      <c r="C44" s="106" t="s">
        <v>110</v>
      </c>
      <c r="D44" s="106"/>
      <c r="E44" s="107" t="s">
        <v>111</v>
      </c>
      <c r="F44" s="112"/>
      <c r="G44" s="108">
        <v>1200900</v>
      </c>
      <c r="H44" s="51"/>
      <c r="I44" s="31"/>
      <c r="K44" s="82" t="s">
        <v>112</v>
      </c>
      <c r="L44" s="18">
        <f>+H10</f>
        <v>4899000</v>
      </c>
    </row>
    <row r="45" spans="1:14" ht="15" customHeight="1" x14ac:dyDescent="0.3">
      <c r="A45" s="26"/>
      <c r="B45" s="111"/>
      <c r="C45" s="106" t="s">
        <v>113</v>
      </c>
      <c r="D45" s="106"/>
      <c r="E45" s="107" t="s">
        <v>114</v>
      </c>
      <c r="F45" s="112"/>
      <c r="G45" s="108">
        <f>+G21/10</f>
        <v>300000</v>
      </c>
      <c r="H45" s="51"/>
      <c r="I45" s="31"/>
      <c r="K45" s="113" t="s">
        <v>115</v>
      </c>
      <c r="L45" s="18">
        <f>+H15</f>
        <v>-200000</v>
      </c>
    </row>
    <row r="46" spans="1:14" ht="15" customHeight="1" x14ac:dyDescent="0.25">
      <c r="A46" s="26"/>
      <c r="G46" s="108"/>
      <c r="H46" s="51">
        <f>SUM(G42:G46)</f>
        <v>1893900</v>
      </c>
      <c r="I46" s="31"/>
      <c r="K46" s="114" t="s">
        <v>116</v>
      </c>
      <c r="L46" s="115">
        <f>(G26+G27+G28)*-1</f>
        <v>-225000</v>
      </c>
      <c r="M46" s="18">
        <f>L44+L45+L46</f>
        <v>4474000</v>
      </c>
    </row>
    <row r="47" spans="1:14" ht="15" customHeight="1" thickBot="1" x14ac:dyDescent="0.3">
      <c r="A47" s="116"/>
      <c r="B47" s="117" t="str">
        <f>IF(H47=0,"TAX  PAYABLE / REFUND ",IF(H47&lt;0,"REFUND","TAX  PAYABLE including Interest"))</f>
        <v>TAX  PAYABLE including Interest</v>
      </c>
      <c r="C47" s="118"/>
      <c r="D47" s="119"/>
      <c r="E47" s="119"/>
      <c r="F47" s="120" t="s">
        <v>117</v>
      </c>
      <c r="G47" s="121"/>
      <c r="H47" s="122">
        <f>ROUND((H40-H46)/10,0)*10</f>
        <v>557650</v>
      </c>
      <c r="I47" s="123"/>
      <c r="K47" s="124" t="s">
        <v>78</v>
      </c>
      <c r="M47" s="7">
        <f>112500+(M46-1000000)*0.3</f>
        <v>1154700</v>
      </c>
    </row>
    <row r="48" spans="1:14" ht="15" customHeight="1" x14ac:dyDescent="0.25">
      <c r="A48" s="125" t="s">
        <v>118</v>
      </c>
      <c r="B48" s="126"/>
      <c r="C48" s="126"/>
      <c r="D48" s="126"/>
      <c r="E48" s="126"/>
      <c r="F48" s="126"/>
      <c r="G48" s="126"/>
      <c r="H48" s="126"/>
      <c r="I48" s="127"/>
      <c r="J48" s="52"/>
      <c r="K48" s="124" t="s">
        <v>119</v>
      </c>
      <c r="L48" s="83">
        <v>0</v>
      </c>
      <c r="M48" s="7">
        <f>M47*L48</f>
        <v>0</v>
      </c>
    </row>
    <row r="49" spans="1:14" ht="15" customHeight="1" thickBot="1" x14ac:dyDescent="0.3">
      <c r="A49" s="128">
        <v>44471</v>
      </c>
      <c r="B49" s="129"/>
      <c r="C49" s="130" t="s">
        <v>120</v>
      </c>
      <c r="D49" s="131"/>
      <c r="E49" s="132" t="s">
        <v>121</v>
      </c>
      <c r="F49" s="133" t="s">
        <v>122</v>
      </c>
      <c r="G49" s="133"/>
      <c r="H49" s="133"/>
      <c r="I49" s="134"/>
      <c r="J49" s="52"/>
      <c r="K49" s="124" t="s">
        <v>123</v>
      </c>
      <c r="L49" s="83">
        <v>0.04</v>
      </c>
      <c r="M49" s="7">
        <f>ROUND((M48+M47)*0.04,0)</f>
        <v>46188</v>
      </c>
    </row>
    <row r="50" spans="1:14" ht="15" customHeight="1" thickBot="1" x14ac:dyDescent="0.3">
      <c r="A50" s="135"/>
      <c r="B50" s="135"/>
      <c r="C50" s="136"/>
      <c r="D50" s="137"/>
      <c r="E50" s="137"/>
      <c r="F50" s="137"/>
      <c r="G50" s="137"/>
      <c r="H50" s="137"/>
      <c r="I50" s="137"/>
      <c r="K50" s="138"/>
      <c r="M50" s="139">
        <f>SUM(M47:M49)</f>
        <v>1200888</v>
      </c>
    </row>
    <row r="51" spans="1:14" ht="15" customHeight="1" thickTop="1" x14ac:dyDescent="0.25">
      <c r="A51" s="135"/>
      <c r="B51" s="138"/>
      <c r="C51" s="140"/>
      <c r="D51" s="137"/>
      <c r="E51" s="137"/>
      <c r="F51" s="137"/>
      <c r="G51" s="137"/>
      <c r="H51" s="137"/>
      <c r="I51" s="137"/>
      <c r="J51" s="52"/>
      <c r="K51" s="138" t="s">
        <v>124</v>
      </c>
      <c r="M51" s="136"/>
    </row>
    <row r="52" spans="1:14" ht="15" customHeight="1" thickBot="1" x14ac:dyDescent="0.3">
      <c r="A52" s="135"/>
      <c r="B52" s="135"/>
      <c r="C52" s="136"/>
      <c r="D52" s="137"/>
      <c r="E52" s="137"/>
      <c r="F52" s="137"/>
      <c r="G52" s="137"/>
      <c r="H52" s="137"/>
      <c r="I52" s="137"/>
      <c r="J52" s="52"/>
      <c r="K52" s="138" t="s">
        <v>125</v>
      </c>
      <c r="L52" s="141"/>
      <c r="M52" s="6"/>
      <c r="N52" s="6"/>
    </row>
    <row r="53" spans="1:14" ht="15" customHeight="1" x14ac:dyDescent="0.25">
      <c r="A53" s="135"/>
      <c r="B53" s="138"/>
      <c r="C53" s="140"/>
      <c r="D53" s="137"/>
      <c r="E53" s="142"/>
      <c r="F53" s="143" t="s">
        <v>126</v>
      </c>
      <c r="G53" s="143"/>
      <c r="H53" s="143"/>
      <c r="I53" s="137"/>
      <c r="J53" s="52"/>
      <c r="K53" s="144" t="s">
        <v>127</v>
      </c>
      <c r="L53" s="145"/>
      <c r="M53" s="6"/>
      <c r="N53" s="6"/>
    </row>
    <row r="54" spans="1:14" ht="15" customHeight="1" x14ac:dyDescent="0.25">
      <c r="A54" s="135"/>
      <c r="B54" s="146"/>
      <c r="C54" s="147"/>
      <c r="D54" s="137"/>
      <c r="F54" s="148" t="s">
        <v>128</v>
      </c>
      <c r="G54" s="148"/>
      <c r="H54" s="149">
        <f>G7-M3</f>
        <v>5006500</v>
      </c>
      <c r="I54" s="137"/>
      <c r="J54" s="52"/>
      <c r="K54" s="150" t="s">
        <v>129</v>
      </c>
      <c r="L54" s="151" t="s">
        <v>42</v>
      </c>
      <c r="M54" s="6"/>
      <c r="N54" s="6"/>
    </row>
    <row r="55" spans="1:14" ht="15" customHeight="1" x14ac:dyDescent="0.25">
      <c r="B55" s="152"/>
      <c r="C55" s="153"/>
      <c r="F55" s="154" t="s">
        <v>130</v>
      </c>
      <c r="G55" s="154"/>
      <c r="J55" s="52"/>
      <c r="K55" s="150" t="s">
        <v>131</v>
      </c>
      <c r="L55" s="155">
        <v>0.05</v>
      </c>
    </row>
    <row r="56" spans="1:14" ht="15" customHeight="1" x14ac:dyDescent="0.25">
      <c r="B56" s="156"/>
      <c r="C56" s="156"/>
      <c r="F56" s="115" t="s">
        <v>132</v>
      </c>
      <c r="G56" s="115"/>
      <c r="H56" s="157">
        <f>+H22</f>
        <v>3033150</v>
      </c>
      <c r="J56" s="52"/>
      <c r="K56" s="150" t="s">
        <v>133</v>
      </c>
      <c r="L56" s="155">
        <v>0.2</v>
      </c>
    </row>
    <row r="57" spans="1:14" ht="15" customHeight="1" thickBot="1" x14ac:dyDescent="0.3">
      <c r="B57" s="156"/>
      <c r="C57" s="158"/>
      <c r="E57" s="159">
        <f>+H32</f>
        <v>0</v>
      </c>
      <c r="F57" s="160"/>
      <c r="G57" s="161" t="s">
        <v>134</v>
      </c>
      <c r="H57" s="162">
        <f>SUM(H54:H56)</f>
        <v>8039650</v>
      </c>
      <c r="J57" s="52"/>
      <c r="K57" s="150" t="s">
        <v>135</v>
      </c>
      <c r="L57" s="155">
        <v>0.3</v>
      </c>
    </row>
    <row r="58" spans="1:14" ht="15" customHeight="1" thickTop="1" x14ac:dyDescent="0.25">
      <c r="B58" s="156"/>
      <c r="C58" s="158"/>
      <c r="J58" s="52"/>
      <c r="K58" s="163" t="s">
        <v>126</v>
      </c>
      <c r="L58" s="164"/>
    </row>
    <row r="59" spans="1:14" ht="15" customHeight="1" x14ac:dyDescent="0.25">
      <c r="B59" s="156"/>
      <c r="C59" s="158"/>
      <c r="G59" s="28" t="s">
        <v>78</v>
      </c>
      <c r="H59" s="165">
        <f>ROUND(IF(H57&gt;1500000,(H57-1500000)*30%+187500,IF(H57&gt;1250000,(H57-1250000)*25%+125000,IF(H57&gt;1000000,(H57-1000000)*20%+75000,IF(H57&gt;750000,(H57-750000)*15%+37500,IF(H57&gt;500000,(H57-500000)*10%+12500, IF(H57&gt;250000,(H57-250000)*5%,0)))))),0)</f>
        <v>2149395</v>
      </c>
      <c r="J59" s="52"/>
      <c r="K59" s="166" t="s">
        <v>136</v>
      </c>
      <c r="L59" s="167" t="s">
        <v>42</v>
      </c>
    </row>
    <row r="60" spans="1:14" ht="15" customHeight="1" x14ac:dyDescent="0.25">
      <c r="B60" s="156"/>
      <c r="C60" s="158"/>
      <c r="G60" s="28" t="s">
        <v>119</v>
      </c>
      <c r="H60" s="115">
        <f>ROUND(H59*0.1,0)</f>
        <v>214940</v>
      </c>
      <c r="J60" s="52"/>
      <c r="K60" s="166" t="s">
        <v>131</v>
      </c>
      <c r="L60" s="168">
        <v>0.05</v>
      </c>
    </row>
    <row r="61" spans="1:14" ht="15" customHeight="1" x14ac:dyDescent="0.25">
      <c r="B61" s="156"/>
      <c r="C61" s="158"/>
      <c r="H61" s="7">
        <f>H59+H60</f>
        <v>2364335</v>
      </c>
      <c r="J61" s="52"/>
      <c r="K61" s="166" t="s">
        <v>137</v>
      </c>
      <c r="L61" s="168">
        <v>0.1</v>
      </c>
    </row>
    <row r="62" spans="1:14" ht="15" customHeight="1" x14ac:dyDescent="0.25">
      <c r="B62" s="156"/>
      <c r="C62" s="158"/>
      <c r="G62" s="28" t="s">
        <v>123</v>
      </c>
      <c r="H62" s="7">
        <f>ROUND(H61*4%,0)</f>
        <v>94573</v>
      </c>
      <c r="J62" s="52"/>
      <c r="K62" s="166" t="s">
        <v>138</v>
      </c>
      <c r="L62" s="168">
        <v>0.15</v>
      </c>
    </row>
    <row r="63" spans="1:14" ht="15" customHeight="1" thickBot="1" x14ac:dyDescent="0.3">
      <c r="B63" s="156"/>
      <c r="C63" s="158"/>
      <c r="E63" s="159">
        <f>+H39</f>
        <v>0</v>
      </c>
      <c r="F63" s="160"/>
      <c r="G63" s="169" t="s">
        <v>139</v>
      </c>
      <c r="H63" s="170">
        <f>SUM(H61:H62)</f>
        <v>2458908</v>
      </c>
      <c r="J63" s="52"/>
      <c r="K63" s="166" t="s">
        <v>140</v>
      </c>
      <c r="L63" s="168">
        <v>0.2</v>
      </c>
    </row>
    <row r="64" spans="1:14" ht="15" customHeight="1" thickTop="1" x14ac:dyDescent="0.25">
      <c r="B64" s="156"/>
      <c r="C64" s="158"/>
      <c r="G64" s="28"/>
      <c r="J64" s="52"/>
      <c r="K64" s="166" t="s">
        <v>141</v>
      </c>
      <c r="L64" s="168">
        <v>0.25</v>
      </c>
    </row>
    <row r="65" spans="1:14" ht="15" customHeight="1" thickBot="1" x14ac:dyDescent="0.3">
      <c r="B65" s="171" t="s">
        <v>142</v>
      </c>
      <c r="C65" s="172"/>
      <c r="D65" s="172"/>
      <c r="E65" s="172"/>
      <c r="F65" s="172"/>
      <c r="G65" s="173" t="s">
        <v>143</v>
      </c>
      <c r="H65" s="174">
        <f>+H77+H89+H99</f>
        <v>93027</v>
      </c>
      <c r="J65" s="175"/>
      <c r="K65" s="166" t="s">
        <v>144</v>
      </c>
      <c r="L65" s="168">
        <v>0.3</v>
      </c>
    </row>
    <row r="66" spans="1:14" ht="15" customHeight="1" x14ac:dyDescent="0.25">
      <c r="B66" s="176" t="s">
        <v>145</v>
      </c>
      <c r="C66" s="177"/>
      <c r="D66" s="177"/>
      <c r="E66" s="177"/>
      <c r="F66" s="177"/>
      <c r="G66" s="178"/>
      <c r="H66" s="179"/>
      <c r="J66" s="175"/>
      <c r="K66" s="180" t="s">
        <v>146</v>
      </c>
      <c r="L66" s="181"/>
      <c r="M66" s="182" t="s">
        <v>147</v>
      </c>
      <c r="N66" s="183" t="s">
        <v>148</v>
      </c>
    </row>
    <row r="67" spans="1:14" ht="15" customHeight="1" x14ac:dyDescent="0.25">
      <c r="B67" s="184" t="s">
        <v>149</v>
      </c>
      <c r="C67" s="177"/>
      <c r="D67" s="177"/>
      <c r="E67" s="185">
        <f>+H37</f>
        <v>2358521.5</v>
      </c>
      <c r="G67" s="177"/>
      <c r="I67" s="177"/>
      <c r="J67" s="186"/>
      <c r="K67" s="187" t="s">
        <v>150</v>
      </c>
      <c r="L67" s="188"/>
      <c r="M67" s="182" t="s">
        <v>151</v>
      </c>
      <c r="N67" s="189" t="s">
        <v>152</v>
      </c>
    </row>
    <row r="68" spans="1:14" ht="15" customHeight="1" x14ac:dyDescent="0.25">
      <c r="B68" s="184" t="s">
        <v>153</v>
      </c>
      <c r="C68" s="177"/>
      <c r="D68" s="177"/>
      <c r="E68" s="185">
        <f>(+G44+G45)*-1</f>
        <v>-1500900</v>
      </c>
      <c r="G68" s="177"/>
      <c r="I68" s="177"/>
      <c r="J68" s="186"/>
      <c r="K68" s="190" t="s">
        <v>154</v>
      </c>
      <c r="L68" s="191"/>
      <c r="M68" s="192" t="s">
        <v>155</v>
      </c>
      <c r="N68" s="189" t="s">
        <v>156</v>
      </c>
    </row>
    <row r="69" spans="1:14" ht="15" customHeight="1" thickBot="1" x14ac:dyDescent="0.3">
      <c r="B69" s="184" t="s">
        <v>157</v>
      </c>
      <c r="C69" s="177"/>
      <c r="D69" s="177"/>
      <c r="E69" s="193">
        <f>E67+E68</f>
        <v>857621.5</v>
      </c>
      <c r="G69" s="177"/>
      <c r="I69" s="177"/>
      <c r="J69" s="186"/>
      <c r="K69" s="190" t="s">
        <v>158</v>
      </c>
      <c r="L69" s="191"/>
      <c r="M69" s="192" t="s">
        <v>159</v>
      </c>
      <c r="N69" s="189" t="s">
        <v>160</v>
      </c>
    </row>
    <row r="70" spans="1:14" ht="15" customHeight="1" thickTop="1" thickBot="1" x14ac:dyDescent="0.3">
      <c r="C70" s="177"/>
      <c r="D70" s="177"/>
      <c r="E70" s="194">
        <f>IF(E69&gt;10000,E69,0)</f>
        <v>857621.5</v>
      </c>
      <c r="G70" s="177"/>
      <c r="J70" s="195"/>
      <c r="K70" s="196" t="s">
        <v>161</v>
      </c>
      <c r="L70" s="197"/>
    </row>
    <row r="71" spans="1:14" ht="25.5" customHeight="1" x14ac:dyDescent="0.25">
      <c r="B71" s="198" t="s">
        <v>162</v>
      </c>
      <c r="C71" s="199" t="s">
        <v>163</v>
      </c>
      <c r="D71" s="199" t="s">
        <v>164</v>
      </c>
      <c r="E71" s="199" t="s">
        <v>165</v>
      </c>
      <c r="F71" s="200" t="s">
        <v>166</v>
      </c>
      <c r="G71" s="201" t="s">
        <v>167</v>
      </c>
      <c r="H71" s="199" t="s">
        <v>168</v>
      </c>
      <c r="J71" s="186"/>
    </row>
    <row r="72" spans="1:14" ht="15" customHeight="1" x14ac:dyDescent="0.25">
      <c r="A72" s="202">
        <v>1</v>
      </c>
      <c r="B72" s="203"/>
      <c r="C72" s="204"/>
      <c r="D72" s="203">
        <v>43997</v>
      </c>
      <c r="E72" s="185">
        <f>E70*0.15</f>
        <v>128643.22499999999</v>
      </c>
      <c r="F72" s="185">
        <f>ROUNDDOWN(+E72,-2)</f>
        <v>128600</v>
      </c>
      <c r="G72" s="185">
        <f>(F72-C72)</f>
        <v>128600</v>
      </c>
      <c r="H72" s="205">
        <f>IF(G72&gt;0,G72*0.12/12*3,0)</f>
        <v>3858</v>
      </c>
      <c r="I72" s="206" t="s">
        <v>169</v>
      </c>
      <c r="J72" s="206"/>
      <c r="K72" s="207" t="s">
        <v>170</v>
      </c>
    </row>
    <row r="73" spans="1:14" ht="15" customHeight="1" x14ac:dyDescent="0.25">
      <c r="A73" s="202">
        <v>2</v>
      </c>
      <c r="B73" s="203"/>
      <c r="C73" s="204"/>
      <c r="D73" s="203">
        <v>44089</v>
      </c>
      <c r="E73" s="185">
        <f>E70*0.45</f>
        <v>385929.67499999999</v>
      </c>
      <c r="F73" s="185">
        <f>ROUNDDOWN(+E73,-2)</f>
        <v>385900</v>
      </c>
      <c r="G73" s="185">
        <f>(F73-C73-C72)</f>
        <v>385900</v>
      </c>
      <c r="H73" s="205">
        <f>IF(G73&gt;0,G73*0.12/12*3,0)</f>
        <v>11577</v>
      </c>
      <c r="J73" s="208" t="s">
        <v>171</v>
      </c>
      <c r="K73" s="209">
        <v>39387</v>
      </c>
    </row>
    <row r="74" spans="1:14" ht="15" customHeight="1" x14ac:dyDescent="0.25">
      <c r="A74" s="202">
        <v>3</v>
      </c>
      <c r="B74" s="203">
        <v>44113</v>
      </c>
      <c r="C74" s="204">
        <f>+G42</f>
        <v>98000</v>
      </c>
      <c r="D74" s="203">
        <v>44180</v>
      </c>
      <c r="E74" s="185">
        <f>E70*0.75</f>
        <v>643216.125</v>
      </c>
      <c r="F74" s="185">
        <f>ROUNDDOWN(+E74,-2)</f>
        <v>643200</v>
      </c>
      <c r="G74" s="185">
        <f>(F74-(C72+C73+C74))</f>
        <v>545200</v>
      </c>
      <c r="H74" s="205">
        <f>IF(G74&gt;0,G74*0.12/12*3,0)</f>
        <v>16356</v>
      </c>
      <c r="J74" s="208" t="s">
        <v>172</v>
      </c>
      <c r="K74" s="209">
        <v>39387</v>
      </c>
    </row>
    <row r="75" spans="1:14" ht="15" customHeight="1" x14ac:dyDescent="0.25">
      <c r="A75" s="202">
        <v>4</v>
      </c>
      <c r="B75" s="203"/>
      <c r="C75" s="204"/>
      <c r="D75" s="203">
        <v>44270</v>
      </c>
      <c r="E75" s="185">
        <f>E70*1</f>
        <v>857621.5</v>
      </c>
      <c r="F75" s="185">
        <f>ROUNDDOWN(+E75,-2)</f>
        <v>857600</v>
      </c>
      <c r="G75" s="185">
        <f>(F75-(C72+C73+C74+C75))</f>
        <v>759600</v>
      </c>
      <c r="H75" s="205">
        <f>IF(G75&gt;0,G75*0.12/12,0)</f>
        <v>7596</v>
      </c>
      <c r="J75" s="208" t="s">
        <v>173</v>
      </c>
      <c r="K75" s="209">
        <v>39387</v>
      </c>
    </row>
    <row r="76" spans="1:14" ht="15" customHeight="1" x14ac:dyDescent="0.25">
      <c r="A76" s="202">
        <v>5</v>
      </c>
      <c r="B76" s="203"/>
      <c r="C76" s="204"/>
      <c r="D76" s="203">
        <v>44286</v>
      </c>
      <c r="F76" s="210"/>
      <c r="G76" s="210"/>
      <c r="H76" s="18"/>
      <c r="I76" s="210"/>
      <c r="J76" s="211"/>
      <c r="K76" s="212"/>
    </row>
    <row r="77" spans="1:14" ht="15" customHeight="1" thickBot="1" x14ac:dyDescent="0.3">
      <c r="B77" s="177"/>
      <c r="C77" s="213">
        <f>SUM(C72:C76)</f>
        <v>98000</v>
      </c>
      <c r="D77" s="177"/>
      <c r="E77" s="177"/>
      <c r="F77" s="177"/>
      <c r="G77" s="177"/>
      <c r="H77" s="214">
        <f>SUM(H72:H75)</f>
        <v>39387</v>
      </c>
    </row>
    <row r="78" spans="1:14" ht="15" customHeight="1" thickTop="1" thickBot="1" x14ac:dyDescent="0.3">
      <c r="A78" s="215"/>
      <c r="B78" s="216"/>
      <c r="C78" s="217"/>
      <c r="D78" s="216"/>
      <c r="E78" s="216"/>
      <c r="F78" s="216"/>
      <c r="G78" s="216"/>
      <c r="H78" s="216"/>
    </row>
    <row r="79" spans="1:14" ht="15" customHeight="1" x14ac:dyDescent="0.25">
      <c r="B79" s="176" t="s">
        <v>174</v>
      </c>
      <c r="C79" s="218"/>
      <c r="D79" s="177"/>
      <c r="E79" s="177"/>
      <c r="F79" s="177"/>
      <c r="G79" s="177"/>
      <c r="H79" s="186" t="s">
        <v>168</v>
      </c>
    </row>
    <row r="80" spans="1:14" ht="15" customHeight="1" x14ac:dyDescent="0.25">
      <c r="B80" s="184" t="s">
        <v>149</v>
      </c>
      <c r="C80" s="177"/>
      <c r="D80" s="177"/>
      <c r="E80" s="185">
        <f>+E67</f>
        <v>2358521.5</v>
      </c>
      <c r="F80" s="177"/>
      <c r="G80" s="219">
        <v>44287</v>
      </c>
      <c r="H80" s="205">
        <f>F86*0.01</f>
        <v>7596</v>
      </c>
    </row>
    <row r="81" spans="1:11" ht="15" customHeight="1" x14ac:dyDescent="0.25">
      <c r="B81" s="220" t="s">
        <v>153</v>
      </c>
      <c r="C81" s="177"/>
      <c r="D81" s="177"/>
      <c r="E81" s="185">
        <f>+E68</f>
        <v>-1500900</v>
      </c>
      <c r="F81" s="177"/>
      <c r="G81" s="219">
        <v>44317</v>
      </c>
      <c r="H81" s="205">
        <f>F90*0.01</f>
        <v>5116</v>
      </c>
    </row>
    <row r="82" spans="1:11" ht="15" customHeight="1" thickBot="1" x14ac:dyDescent="0.3">
      <c r="B82" s="220"/>
      <c r="C82" s="177"/>
      <c r="D82" s="177"/>
      <c r="E82" s="193">
        <f>E80+E81</f>
        <v>857621.5</v>
      </c>
      <c r="G82" s="219">
        <v>44348</v>
      </c>
      <c r="H82" s="205">
        <f>+H81</f>
        <v>5116</v>
      </c>
    </row>
    <row r="83" spans="1:11" ht="15" customHeight="1" thickTop="1" x14ac:dyDescent="0.25">
      <c r="F83" s="177"/>
      <c r="G83" s="219">
        <v>44378</v>
      </c>
      <c r="H83" s="205">
        <f>+H81</f>
        <v>5116</v>
      </c>
    </row>
    <row r="84" spans="1:11" ht="15" customHeight="1" x14ac:dyDescent="0.25">
      <c r="B84" s="177" t="s">
        <v>175</v>
      </c>
      <c r="C84" s="218"/>
      <c r="D84" s="221">
        <v>0.9</v>
      </c>
      <c r="E84" s="222">
        <f>ROUND(E82*90%,0)</f>
        <v>771859</v>
      </c>
      <c r="F84" s="177"/>
      <c r="G84" s="219">
        <v>44409</v>
      </c>
      <c r="H84" s="205">
        <f>+H81</f>
        <v>5116</v>
      </c>
    </row>
    <row r="85" spans="1:11" ht="15" customHeight="1" x14ac:dyDescent="0.25">
      <c r="B85" s="177" t="s">
        <v>176</v>
      </c>
      <c r="C85" s="218"/>
      <c r="D85" s="177"/>
      <c r="E85" s="185">
        <f>ROUND(+C77,0)</f>
        <v>98000</v>
      </c>
      <c r="F85" s="177"/>
      <c r="G85" s="219">
        <v>44440</v>
      </c>
      <c r="H85" s="223">
        <f>+H84</f>
        <v>5116</v>
      </c>
      <c r="I85" s="224" t="s">
        <v>169</v>
      </c>
      <c r="J85" s="224"/>
      <c r="K85" s="142" t="s">
        <v>177</v>
      </c>
    </row>
    <row r="86" spans="1:11" ht="15" customHeight="1" x14ac:dyDescent="0.25">
      <c r="B86" s="7" t="s">
        <v>178</v>
      </c>
      <c r="C86" s="218"/>
      <c r="D86" s="177"/>
      <c r="E86" s="185">
        <f>E82-E85</f>
        <v>759621.5</v>
      </c>
      <c r="F86" s="185">
        <f>ROUNDDOWN(E86,-2)</f>
        <v>759600</v>
      </c>
      <c r="G86" s="219">
        <v>44470</v>
      </c>
      <c r="H86" s="223">
        <f>+H85</f>
        <v>5116</v>
      </c>
      <c r="J86" s="225" t="s">
        <v>171</v>
      </c>
      <c r="K86" s="226">
        <f>38292</f>
        <v>38292</v>
      </c>
    </row>
    <row r="87" spans="1:11" ht="15" customHeight="1" x14ac:dyDescent="0.25">
      <c r="B87" s="227">
        <v>44316</v>
      </c>
      <c r="C87" s="177" t="s">
        <v>179</v>
      </c>
      <c r="D87" s="177"/>
      <c r="E87" s="228">
        <f>+G43</f>
        <v>295000</v>
      </c>
      <c r="F87" s="177"/>
      <c r="G87" s="219">
        <v>44501</v>
      </c>
      <c r="J87" s="225" t="s">
        <v>172</v>
      </c>
      <c r="K87" s="226">
        <f>38292+5116</f>
        <v>43408</v>
      </c>
    </row>
    <row r="88" spans="1:11" ht="15" customHeight="1" x14ac:dyDescent="0.25">
      <c r="C88" s="27" t="s">
        <v>180</v>
      </c>
      <c r="E88" s="228">
        <f>H77+H80</f>
        <v>46983</v>
      </c>
      <c r="F88" s="177"/>
      <c r="G88" s="219">
        <v>44531</v>
      </c>
      <c r="H88" s="229"/>
      <c r="J88" s="225" t="s">
        <v>173</v>
      </c>
      <c r="K88" s="226">
        <f>38292+5116+5116</f>
        <v>48524</v>
      </c>
    </row>
    <row r="89" spans="1:11" ht="15" customHeight="1" thickBot="1" x14ac:dyDescent="0.3">
      <c r="C89" s="184" t="s">
        <v>181</v>
      </c>
      <c r="E89" s="230">
        <f>E87-E88</f>
        <v>248017</v>
      </c>
      <c r="F89" s="177"/>
      <c r="G89" s="177"/>
      <c r="H89" s="214">
        <f>SUM(H80:H88)</f>
        <v>38292</v>
      </c>
    </row>
    <row r="90" spans="1:11" ht="15" customHeight="1" thickTop="1" x14ac:dyDescent="0.25">
      <c r="B90" s="7" t="s">
        <v>182</v>
      </c>
      <c r="C90" s="184"/>
      <c r="E90" s="231">
        <f>E86-E89</f>
        <v>511604.5</v>
      </c>
      <c r="F90" s="185">
        <f>ROUNDDOWN(E90,-2)</f>
        <v>511600</v>
      </c>
      <c r="G90" s="177"/>
      <c r="H90" s="229"/>
    </row>
    <row r="91" spans="1:11" ht="15" customHeight="1" thickBot="1" x14ac:dyDescent="0.3">
      <c r="A91" s="215"/>
      <c r="B91" s="232"/>
      <c r="C91" s="233"/>
      <c r="D91" s="232"/>
      <c r="E91" s="234"/>
      <c r="F91" s="235"/>
      <c r="G91" s="216"/>
      <c r="H91" s="236"/>
    </row>
    <row r="92" spans="1:11" ht="15" customHeight="1" x14ac:dyDescent="0.25">
      <c r="B92" s="176" t="s">
        <v>183</v>
      </c>
      <c r="C92" s="237"/>
      <c r="D92" s="237"/>
      <c r="E92" s="237"/>
      <c r="F92" s="237"/>
      <c r="G92" s="237"/>
      <c r="H92" s="237"/>
      <c r="I92" s="237"/>
      <c r="J92" s="229"/>
    </row>
    <row r="93" spans="1:11" ht="15" customHeight="1" x14ac:dyDescent="0.25">
      <c r="B93" s="184" t="s">
        <v>149</v>
      </c>
      <c r="C93" s="177"/>
      <c r="D93" s="177"/>
      <c r="E93" s="185">
        <f>+E67</f>
        <v>2358521.5</v>
      </c>
      <c r="F93" s="237"/>
      <c r="G93" s="177"/>
      <c r="H93" s="186" t="s">
        <v>168</v>
      </c>
      <c r="I93" s="237"/>
      <c r="J93" s="229"/>
    </row>
    <row r="94" spans="1:11" ht="15" customHeight="1" x14ac:dyDescent="0.25">
      <c r="B94" s="220" t="s">
        <v>153</v>
      </c>
      <c r="C94" s="177"/>
      <c r="D94" s="177"/>
      <c r="E94" s="185">
        <f>+E68</f>
        <v>-1500900</v>
      </c>
      <c r="F94" s="237"/>
      <c r="G94" s="219">
        <v>44409</v>
      </c>
      <c r="H94" s="205">
        <f>E100*0.01</f>
        <v>5116</v>
      </c>
      <c r="I94" s="237"/>
      <c r="J94" s="229"/>
    </row>
    <row r="95" spans="1:11" ht="15" customHeight="1" x14ac:dyDescent="0.25">
      <c r="B95" s="220" t="s">
        <v>184</v>
      </c>
      <c r="C95" s="177"/>
      <c r="D95" s="177"/>
      <c r="E95" s="185">
        <v>-98000</v>
      </c>
      <c r="F95" s="237"/>
      <c r="G95" s="219">
        <v>44440</v>
      </c>
      <c r="H95" s="205">
        <f>+H94</f>
        <v>5116</v>
      </c>
      <c r="I95" s="238" t="s">
        <v>169</v>
      </c>
      <c r="J95" s="238"/>
      <c r="K95" s="239" t="s">
        <v>185</v>
      </c>
    </row>
    <row r="96" spans="1:11" ht="15" customHeight="1" x14ac:dyDescent="0.25">
      <c r="B96" s="220" t="s">
        <v>186</v>
      </c>
      <c r="C96" s="177"/>
      <c r="D96" s="177"/>
      <c r="E96" s="18">
        <f>+H77</f>
        <v>39387</v>
      </c>
      <c r="F96" s="237"/>
      <c r="G96" s="219">
        <v>44470</v>
      </c>
      <c r="H96" s="205">
        <f>+H95</f>
        <v>5116</v>
      </c>
      <c r="I96" s="237"/>
      <c r="J96" s="240" t="s">
        <v>171</v>
      </c>
      <c r="K96" s="241">
        <v>15348</v>
      </c>
    </row>
    <row r="97" spans="1:12" ht="15" customHeight="1" x14ac:dyDescent="0.25">
      <c r="B97" s="220" t="s">
        <v>187</v>
      </c>
      <c r="C97" s="177"/>
      <c r="D97" s="177"/>
      <c r="E97" s="18">
        <f>+H80</f>
        <v>7596</v>
      </c>
      <c r="F97" s="237"/>
      <c r="G97" s="219">
        <v>44501</v>
      </c>
      <c r="H97" s="205"/>
      <c r="I97" s="237"/>
      <c r="J97" s="240" t="s">
        <v>172</v>
      </c>
      <c r="K97" s="241">
        <f>15348+5116</f>
        <v>20464</v>
      </c>
    </row>
    <row r="98" spans="1:12" ht="15" customHeight="1" x14ac:dyDescent="0.25">
      <c r="B98" s="220" t="s">
        <v>188</v>
      </c>
      <c r="C98" s="177"/>
      <c r="D98" s="177"/>
      <c r="E98" s="18">
        <f>+G43*-1</f>
        <v>-295000</v>
      </c>
      <c r="F98" s="237"/>
      <c r="G98" s="219">
        <v>44531</v>
      </c>
      <c r="H98" s="205"/>
      <c r="I98" s="237"/>
      <c r="J98" s="240" t="s">
        <v>173</v>
      </c>
      <c r="K98" s="241">
        <f>15348+5116+5116</f>
        <v>25580</v>
      </c>
    </row>
    <row r="99" spans="1:12" ht="15" customHeight="1" thickBot="1" x14ac:dyDescent="0.3">
      <c r="E99" s="193">
        <f>SUM(E93:E98)</f>
        <v>511604.5</v>
      </c>
      <c r="F99" s="237"/>
      <c r="G99" s="242"/>
      <c r="H99" s="214">
        <f>SUM(H94:H98)</f>
        <v>15348</v>
      </c>
      <c r="I99" s="237"/>
      <c r="J99" s="229"/>
    </row>
    <row r="100" spans="1:12" ht="15" customHeight="1" thickTop="1" x14ac:dyDescent="0.25">
      <c r="C100" s="177"/>
      <c r="D100" s="177"/>
      <c r="E100" s="185">
        <f>ROUNDDOWN(+E99,-2)</f>
        <v>511600</v>
      </c>
      <c r="F100" s="237"/>
      <c r="G100" s="237"/>
      <c r="H100" s="237"/>
      <c r="I100" s="237"/>
      <c r="J100" s="229"/>
    </row>
    <row r="101" spans="1:12" ht="15" customHeight="1" x14ac:dyDescent="0.25">
      <c r="C101" s="177"/>
      <c r="D101" s="177"/>
      <c r="E101" s="185"/>
      <c r="F101" s="237"/>
      <c r="G101" s="237"/>
      <c r="H101" s="237"/>
      <c r="I101" s="237"/>
      <c r="J101" s="229"/>
    </row>
    <row r="102" spans="1:12" ht="15" customHeight="1" thickBot="1" x14ac:dyDescent="0.3">
      <c r="C102" s="177"/>
      <c r="D102" s="177"/>
      <c r="E102" s="185"/>
      <c r="F102" s="237"/>
      <c r="G102" s="237"/>
      <c r="H102" s="237"/>
      <c r="I102" s="237"/>
      <c r="J102" s="229"/>
    </row>
    <row r="103" spans="1:12" s="45" customFormat="1" ht="15" customHeight="1" x14ac:dyDescent="0.25">
      <c r="A103" s="243" t="s">
        <v>189</v>
      </c>
      <c r="B103" s="244"/>
      <c r="C103" s="244"/>
      <c r="D103" s="244"/>
      <c r="E103" s="244"/>
      <c r="F103" s="244"/>
      <c r="G103" s="245" t="s">
        <v>190</v>
      </c>
      <c r="H103" s="246"/>
      <c r="J103" s="52"/>
      <c r="K103" s="247"/>
      <c r="L103" s="53"/>
    </row>
    <row r="104" spans="1:12" s="45" customFormat="1" ht="15" customHeight="1" x14ac:dyDescent="0.25">
      <c r="A104" s="248" t="s">
        <v>191</v>
      </c>
      <c r="H104" s="81"/>
      <c r="J104" s="52"/>
      <c r="K104" s="249"/>
      <c r="L104" s="53"/>
    </row>
    <row r="105" spans="1:12" s="45" customFormat="1" ht="15" customHeight="1" x14ac:dyDescent="0.25">
      <c r="A105" s="248" t="s">
        <v>192</v>
      </c>
      <c r="H105" s="81"/>
      <c r="J105" s="52"/>
      <c r="K105" s="249"/>
      <c r="L105" s="53"/>
    </row>
    <row r="106" spans="1:12" s="45" customFormat="1" ht="15" customHeight="1" x14ac:dyDescent="0.2">
      <c r="A106" s="250" t="s">
        <v>193</v>
      </c>
      <c r="B106" s="251" t="s">
        <v>194</v>
      </c>
      <c r="C106" s="251"/>
      <c r="D106" s="251"/>
      <c r="E106" s="251"/>
      <c r="F106" s="251"/>
      <c r="G106" s="251"/>
      <c r="H106" s="252"/>
      <c r="I106" s="28"/>
      <c r="J106" s="52"/>
      <c r="K106" s="253" t="s">
        <v>195</v>
      </c>
      <c r="L106" s="53"/>
    </row>
    <row r="107" spans="1:12" s="45" customFormat="1" ht="26.25" customHeight="1" x14ac:dyDescent="0.2">
      <c r="A107" s="250" t="s">
        <v>196</v>
      </c>
      <c r="B107" s="251" t="s">
        <v>197</v>
      </c>
      <c r="C107" s="251"/>
      <c r="D107" s="251"/>
      <c r="E107" s="251"/>
      <c r="F107" s="251"/>
      <c r="G107" s="251"/>
      <c r="H107" s="252"/>
      <c r="I107" s="28"/>
      <c r="J107" s="52"/>
      <c r="K107" s="253" t="s">
        <v>198</v>
      </c>
      <c r="L107" s="53"/>
    </row>
    <row r="108" spans="1:12" s="45" customFormat="1" ht="26.25" customHeight="1" x14ac:dyDescent="0.2">
      <c r="A108" s="250" t="s">
        <v>199</v>
      </c>
      <c r="B108" s="251" t="s">
        <v>200</v>
      </c>
      <c r="C108" s="251"/>
      <c r="D108" s="251"/>
      <c r="E108" s="251"/>
      <c r="F108" s="251"/>
      <c r="G108" s="251"/>
      <c r="H108" s="252"/>
      <c r="I108" s="28"/>
      <c r="J108" s="52"/>
      <c r="K108" s="253" t="s">
        <v>201</v>
      </c>
      <c r="L108" s="53"/>
    </row>
    <row r="109" spans="1:12" s="45" customFormat="1" ht="26.25" customHeight="1" x14ac:dyDescent="0.2">
      <c r="A109" s="250" t="s">
        <v>202</v>
      </c>
      <c r="B109" s="251" t="s">
        <v>203</v>
      </c>
      <c r="C109" s="251"/>
      <c r="D109" s="251"/>
      <c r="E109" s="251"/>
      <c r="F109" s="251"/>
      <c r="G109" s="251"/>
      <c r="H109" s="252"/>
      <c r="I109" s="28"/>
      <c r="J109" s="52"/>
      <c r="K109" s="253" t="s">
        <v>204</v>
      </c>
      <c r="L109" s="53"/>
    </row>
    <row r="110" spans="1:12" s="45" customFormat="1" ht="15" customHeight="1" x14ac:dyDescent="0.2">
      <c r="A110" s="250" t="s">
        <v>205</v>
      </c>
      <c r="B110" s="251" t="s">
        <v>206</v>
      </c>
      <c r="C110" s="251"/>
      <c r="D110" s="251"/>
      <c r="E110" s="251"/>
      <c r="F110" s="251"/>
      <c r="G110" s="251"/>
      <c r="H110" s="252"/>
      <c r="I110" s="28"/>
      <c r="J110" s="52"/>
      <c r="K110" s="253" t="s">
        <v>207</v>
      </c>
      <c r="L110" s="53"/>
    </row>
    <row r="111" spans="1:12" s="45" customFormat="1" ht="15" customHeight="1" x14ac:dyDescent="0.2">
      <c r="A111" s="250" t="s">
        <v>208</v>
      </c>
      <c r="B111" s="251" t="s">
        <v>209</v>
      </c>
      <c r="C111" s="251"/>
      <c r="D111" s="251"/>
      <c r="E111" s="251"/>
      <c r="F111" s="251"/>
      <c r="G111" s="251"/>
      <c r="H111" s="252"/>
      <c r="I111" s="28"/>
      <c r="J111" s="52"/>
      <c r="K111" s="253" t="s">
        <v>210</v>
      </c>
      <c r="L111" s="53"/>
    </row>
    <row r="112" spans="1:12" s="45" customFormat="1" ht="25.5" customHeight="1" x14ac:dyDescent="0.2">
      <c r="A112" s="254"/>
      <c r="B112" s="255" t="s">
        <v>211</v>
      </c>
      <c r="C112" s="255"/>
      <c r="D112" s="255"/>
      <c r="E112" s="255"/>
      <c r="F112" s="255"/>
      <c r="G112" s="255"/>
      <c r="H112" s="256"/>
      <c r="J112" s="52"/>
    </row>
    <row r="113" spans="1:10" s="45" customFormat="1" ht="15" customHeight="1" thickBot="1" x14ac:dyDescent="0.25">
      <c r="A113" s="257"/>
      <c r="B113" s="258" t="s">
        <v>212</v>
      </c>
      <c r="C113" s="258"/>
      <c r="D113" s="258"/>
      <c r="E113" s="258"/>
      <c r="F113" s="258"/>
      <c r="G113" s="258"/>
      <c r="H113" s="259"/>
      <c r="J113" s="52"/>
    </row>
    <row r="114" spans="1:10" s="45" customFormat="1" ht="15" customHeight="1" thickBot="1" x14ac:dyDescent="0.25">
      <c r="A114" s="260"/>
      <c r="B114" s="261"/>
      <c r="C114" s="261"/>
      <c r="D114" s="261"/>
      <c r="E114" s="261"/>
      <c r="F114" s="261"/>
      <c r="G114" s="261"/>
      <c r="J114" s="52"/>
    </row>
    <row r="115" spans="1:10" s="45" customFormat="1" ht="15" customHeight="1" x14ac:dyDescent="0.25">
      <c r="A115" s="243" t="s">
        <v>189</v>
      </c>
      <c r="B115" s="262"/>
      <c r="C115" s="262"/>
      <c r="D115" s="262"/>
      <c r="E115" s="262"/>
      <c r="F115" s="262"/>
      <c r="G115" s="263" t="s">
        <v>213</v>
      </c>
      <c r="H115" s="264"/>
      <c r="J115" s="52"/>
    </row>
    <row r="116" spans="1:10" ht="15" customHeight="1" x14ac:dyDescent="0.25">
      <c r="A116" s="248" t="s">
        <v>214</v>
      </c>
      <c r="C116" s="165"/>
      <c r="D116" s="165"/>
      <c r="E116" s="165"/>
      <c r="F116" s="265"/>
      <c r="G116" s="266"/>
      <c r="H116" s="267"/>
      <c r="J116" s="52"/>
    </row>
    <row r="117" spans="1:10" ht="15" customHeight="1" x14ac:dyDescent="0.25">
      <c r="A117" s="248" t="s">
        <v>215</v>
      </c>
      <c r="C117" s="165"/>
      <c r="D117" s="165"/>
      <c r="E117" s="165"/>
      <c r="F117" s="265"/>
      <c r="G117" s="266"/>
      <c r="H117" s="267"/>
      <c r="J117" s="52"/>
    </row>
    <row r="118" spans="1:10" ht="15" customHeight="1" x14ac:dyDescent="0.25">
      <c r="A118" s="26"/>
      <c r="B118" s="268" t="s">
        <v>216</v>
      </c>
      <c r="D118" s="268" t="s">
        <v>217</v>
      </c>
      <c r="F118" s="265"/>
      <c r="G118" s="266"/>
      <c r="H118" s="267"/>
      <c r="J118" s="52"/>
    </row>
    <row r="119" spans="1:10" ht="15" customHeight="1" x14ac:dyDescent="0.25">
      <c r="A119" s="26"/>
      <c r="B119" s="268" t="s">
        <v>218</v>
      </c>
      <c r="D119" s="268" t="s">
        <v>219</v>
      </c>
      <c r="F119" s="265"/>
      <c r="G119" s="266"/>
      <c r="H119" s="267"/>
      <c r="J119" s="52"/>
    </row>
    <row r="120" spans="1:10" ht="15" customHeight="1" x14ac:dyDescent="0.25">
      <c r="A120" s="26"/>
      <c r="B120" s="268" t="s">
        <v>220</v>
      </c>
      <c r="D120" s="268" t="s">
        <v>221</v>
      </c>
      <c r="F120" s="265"/>
      <c r="G120" s="266"/>
      <c r="H120" s="267"/>
      <c r="J120" s="52"/>
    </row>
    <row r="121" spans="1:10" ht="15" customHeight="1" x14ac:dyDescent="0.25">
      <c r="A121" s="26"/>
      <c r="B121" s="269" t="s">
        <v>222</v>
      </c>
      <c r="D121" s="268" t="s">
        <v>223</v>
      </c>
      <c r="F121" s="265"/>
      <c r="G121" s="266"/>
      <c r="H121" s="267"/>
      <c r="J121" s="52"/>
    </row>
    <row r="122" spans="1:10" ht="15" customHeight="1" x14ac:dyDescent="0.25">
      <c r="A122" s="26"/>
      <c r="B122" s="268" t="s">
        <v>224</v>
      </c>
      <c r="D122" s="268" t="s">
        <v>225</v>
      </c>
      <c r="F122" s="265"/>
      <c r="G122" s="266"/>
      <c r="H122" s="267"/>
      <c r="J122" s="52"/>
    </row>
    <row r="123" spans="1:10" ht="15" customHeight="1" x14ac:dyDescent="0.25">
      <c r="A123" s="26"/>
      <c r="B123" s="268" t="s">
        <v>226</v>
      </c>
      <c r="D123" s="268" t="s">
        <v>227</v>
      </c>
      <c r="F123" s="265"/>
      <c r="G123" s="266"/>
      <c r="H123" s="267"/>
    </row>
    <row r="124" spans="1:10" ht="15" customHeight="1" x14ac:dyDescent="0.25">
      <c r="A124" s="26"/>
      <c r="B124" s="269" t="s">
        <v>228</v>
      </c>
      <c r="D124" s="268" t="s">
        <v>229</v>
      </c>
      <c r="F124" s="265"/>
      <c r="G124" s="266"/>
      <c r="H124" s="267"/>
    </row>
    <row r="125" spans="1:10" ht="15" customHeight="1" thickBot="1" x14ac:dyDescent="0.3">
      <c r="A125" s="270"/>
      <c r="B125" s="271" t="s">
        <v>230</v>
      </c>
      <c r="C125" s="232"/>
      <c r="D125" s="271" t="s">
        <v>231</v>
      </c>
      <c r="E125" s="232"/>
      <c r="F125" s="232"/>
      <c r="G125" s="232"/>
      <c r="H125" s="272"/>
    </row>
    <row r="126" spans="1:10" ht="15" customHeight="1" thickBot="1" x14ac:dyDescent="0.3"/>
    <row r="127" spans="1:10" ht="15" customHeight="1" x14ac:dyDescent="0.25">
      <c r="B127" s="273" t="s">
        <v>232</v>
      </c>
      <c r="C127" s="274"/>
      <c r="D127" s="275"/>
      <c r="E127" s="276" t="s">
        <v>233</v>
      </c>
      <c r="F127" s="277"/>
      <c r="G127" s="276" t="s">
        <v>234</v>
      </c>
      <c r="H127" s="278"/>
    </row>
    <row r="128" spans="1:10" ht="15" customHeight="1" x14ac:dyDescent="0.25">
      <c r="B128" s="279" t="s">
        <v>8</v>
      </c>
      <c r="C128" s="177"/>
      <c r="D128" s="186"/>
      <c r="E128" s="280" t="s">
        <v>235</v>
      </c>
      <c r="G128" s="280" t="s">
        <v>236</v>
      </c>
      <c r="H128" s="267"/>
    </row>
    <row r="129" spans="2:10" ht="15" customHeight="1" x14ac:dyDescent="0.25">
      <c r="B129" s="279" t="s">
        <v>237</v>
      </c>
      <c r="C129" s="177"/>
      <c r="D129" s="186"/>
      <c r="E129" s="280" t="s">
        <v>238</v>
      </c>
      <c r="G129" s="280" t="s">
        <v>239</v>
      </c>
      <c r="H129" s="267"/>
    </row>
    <row r="130" spans="2:10" ht="15" customHeight="1" x14ac:dyDescent="0.25">
      <c r="B130" s="279" t="s">
        <v>240</v>
      </c>
      <c r="C130" s="177"/>
      <c r="D130" s="186"/>
      <c r="E130" s="280" t="s">
        <v>241</v>
      </c>
      <c r="H130" s="267"/>
    </row>
    <row r="131" spans="2:10" ht="15" customHeight="1" x14ac:dyDescent="0.25">
      <c r="B131" s="279" t="s">
        <v>242</v>
      </c>
      <c r="C131" s="177"/>
      <c r="D131" s="186"/>
      <c r="E131" s="280" t="s">
        <v>243</v>
      </c>
      <c r="H131" s="267"/>
    </row>
    <row r="132" spans="2:10" ht="15" customHeight="1" x14ac:dyDescent="0.25">
      <c r="B132" s="279" t="s">
        <v>244</v>
      </c>
      <c r="C132" s="177"/>
      <c r="D132" s="186"/>
      <c r="H132" s="267"/>
    </row>
    <row r="133" spans="2:10" ht="15" customHeight="1" x14ac:dyDescent="0.25">
      <c r="B133" s="279" t="s">
        <v>245</v>
      </c>
      <c r="C133" s="177"/>
      <c r="D133" s="186"/>
      <c r="H133" s="267"/>
    </row>
    <row r="134" spans="2:10" ht="15" customHeight="1" x14ac:dyDescent="0.25">
      <c r="B134" s="279" t="s">
        <v>246</v>
      </c>
      <c r="C134" s="177"/>
      <c r="D134" s="281">
        <f>SUM(C128:C134)</f>
        <v>0</v>
      </c>
      <c r="H134" s="267"/>
    </row>
    <row r="135" spans="2:10" ht="15" customHeight="1" x14ac:dyDescent="0.25">
      <c r="B135" s="282" t="s">
        <v>247</v>
      </c>
      <c r="C135" s="177"/>
      <c r="D135" s="165"/>
      <c r="E135" s="283"/>
      <c r="H135" s="267"/>
    </row>
    <row r="136" spans="2:10" ht="15" customHeight="1" x14ac:dyDescent="0.25">
      <c r="B136" s="279" t="s">
        <v>248</v>
      </c>
      <c r="C136" s="284"/>
      <c r="D136" s="165"/>
      <c r="H136" s="267"/>
    </row>
    <row r="137" spans="2:10" ht="15" customHeight="1" x14ac:dyDescent="0.25">
      <c r="B137" s="279" t="s">
        <v>249</v>
      </c>
      <c r="C137" s="284"/>
      <c r="D137" s="165"/>
      <c r="H137" s="267"/>
    </row>
    <row r="138" spans="2:10" ht="15" customHeight="1" x14ac:dyDescent="0.25">
      <c r="B138" s="279" t="s">
        <v>250</v>
      </c>
      <c r="C138" s="284"/>
      <c r="D138" s="165">
        <f>SUM(C136:C138)</f>
        <v>0</v>
      </c>
      <c r="H138" s="267"/>
    </row>
    <row r="139" spans="2:10" ht="15" customHeight="1" thickBot="1" x14ac:dyDescent="0.3">
      <c r="B139" s="285" t="s">
        <v>251</v>
      </c>
      <c r="C139" s="286"/>
      <c r="D139" s="287"/>
      <c r="E139" s="232"/>
      <c r="F139" s="232"/>
      <c r="G139" s="232"/>
      <c r="H139" s="272"/>
    </row>
    <row r="140" spans="2:10" ht="15" customHeight="1" x14ac:dyDescent="0.25">
      <c r="B140" s="165"/>
      <c r="D140" s="288">
        <f>D134+D138+D139</f>
        <v>0</v>
      </c>
    </row>
    <row r="141" spans="2:10" ht="15" customHeight="1" x14ac:dyDescent="0.25">
      <c r="J141" s="52"/>
    </row>
  </sheetData>
  <mergeCells count="32">
    <mergeCell ref="B113:G113"/>
    <mergeCell ref="G115:H115"/>
    <mergeCell ref="B107:H107"/>
    <mergeCell ref="B108:H108"/>
    <mergeCell ref="B109:H109"/>
    <mergeCell ref="B110:H110"/>
    <mergeCell ref="B111:H111"/>
    <mergeCell ref="B112:H112"/>
    <mergeCell ref="K69:L69"/>
    <mergeCell ref="I72:J72"/>
    <mergeCell ref="I85:J85"/>
    <mergeCell ref="I95:J95"/>
    <mergeCell ref="G103:H103"/>
    <mergeCell ref="B106:H106"/>
    <mergeCell ref="K53:L53"/>
    <mergeCell ref="F54:G54"/>
    <mergeCell ref="F55:G55"/>
    <mergeCell ref="K58:L58"/>
    <mergeCell ref="K66:L66"/>
    <mergeCell ref="K68:L68"/>
    <mergeCell ref="C44:D44"/>
    <mergeCell ref="C45:D45"/>
    <mergeCell ref="A48:I48"/>
    <mergeCell ref="A49:B49"/>
    <mergeCell ref="F49:I49"/>
    <mergeCell ref="F53:H53"/>
    <mergeCell ref="A1:C1"/>
    <mergeCell ref="D1:H1"/>
    <mergeCell ref="A2:C2"/>
    <mergeCell ref="F2:G2"/>
    <mergeCell ref="C42:D42"/>
    <mergeCell ref="C43:E43"/>
  </mergeCell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2021-10-15T11:16:43Z</dcterms:created>
  <dcterms:modified xsi:type="dcterms:W3CDTF">2021-10-15T11:16:59Z</dcterms:modified>
</cp:coreProperties>
</file>