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Tax Doctor\Desktop\"/>
    </mc:Choice>
  </mc:AlternateContent>
  <xr:revisionPtr revIDLastSave="0" documentId="8_{7F69981A-3298-498D-9CB4-66602663B146}" xr6:coauthVersionLast="47" xr6:coauthVersionMax="47" xr10:uidLastSave="{00000000-0000-0000-0000-000000000000}"/>
  <bookViews>
    <workbookView xWindow="-108" yWindow="-108" windowWidth="23256" windowHeight="12720" xr2:uid="{B05C9A32-5B5A-40C7-967F-E42B5A1BBD1D}"/>
  </bookViews>
  <sheets>
    <sheet name="9" sheetId="1" r:id="rId1"/>
  </sheets>
  <externalReferences>
    <externalReference r:id="rId2"/>
  </externalReferences>
  <definedNames>
    <definedName name="newbasicPB4">[1]Sheet1!$T$4:$T$37</definedName>
    <definedName name="oldbasicPB4">[1]Sheet1!$S$4:$S$37</definedName>
    <definedName name="_xlnm.Print_Area" localSheetId="0">'9'!$A$1:$I$56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64" i="1" l="1"/>
  <c r="D160" i="1"/>
  <c r="D166" i="1" s="1"/>
  <c r="H121" i="1"/>
  <c r="E121" i="1"/>
  <c r="K113" i="1"/>
  <c r="K114" i="1" s="1"/>
  <c r="E113" i="1"/>
  <c r="B113" i="1"/>
  <c r="H112" i="1"/>
  <c r="H111" i="1"/>
  <c r="K99" i="1"/>
  <c r="K100" i="1" s="1"/>
  <c r="C99" i="1"/>
  <c r="C103" i="1" s="1"/>
  <c r="E111" i="1" s="1"/>
  <c r="G96" i="1"/>
  <c r="E94" i="1"/>
  <c r="E107" i="1" s="1"/>
  <c r="E120" i="1" s="1"/>
  <c r="M54" i="1"/>
  <c r="K53" i="1"/>
  <c r="H53" i="1"/>
  <c r="N49" i="1"/>
  <c r="M40" i="1"/>
  <c r="M39" i="1"/>
  <c r="H36" i="1"/>
  <c r="E36" i="1"/>
  <c r="G34" i="1"/>
  <c r="F30" i="1"/>
  <c r="D30" i="1"/>
  <c r="F29" i="1"/>
  <c r="D29" i="1"/>
  <c r="G24" i="1"/>
  <c r="G23" i="1"/>
  <c r="H25" i="1" s="1"/>
  <c r="H66" i="1" s="1"/>
  <c r="G21" i="1"/>
  <c r="F20" i="1"/>
  <c r="G20" i="1" s="1"/>
  <c r="H21" i="1" s="1"/>
  <c r="G15" i="1"/>
  <c r="H15" i="1" s="1"/>
  <c r="H64" i="1" s="1"/>
  <c r="M8" i="1"/>
  <c r="G8" i="1" s="1"/>
  <c r="L8" i="1"/>
  <c r="G4" i="1" s="1"/>
  <c r="G7" i="1" s="1"/>
  <c r="G6" i="1"/>
  <c r="G5" i="1"/>
  <c r="I2" i="1"/>
  <c r="A36" i="1" s="1"/>
  <c r="A48" i="1" s="1"/>
  <c r="E40" i="1" l="1"/>
  <c r="G40" i="1" s="1"/>
  <c r="H65" i="1"/>
  <c r="H63" i="1"/>
  <c r="H67" i="1" s="1"/>
  <c r="H69" i="1" s="1"/>
  <c r="G9" i="1"/>
  <c r="H10" i="1" s="1"/>
  <c r="K101" i="1"/>
  <c r="H122" i="1"/>
  <c r="H125" i="1" s="1"/>
  <c r="H47" i="1" s="1"/>
  <c r="K122" i="1"/>
  <c r="K123" i="1" s="1"/>
  <c r="K124" i="1" s="1"/>
  <c r="H27" i="1" l="1"/>
  <c r="E37" i="1" s="1"/>
  <c r="H37" i="1" s="1"/>
  <c r="L52" i="1"/>
  <c r="M53" i="1" s="1"/>
  <c r="M55" i="1" s="1"/>
  <c r="M56" i="1" s="1"/>
  <c r="H70" i="1"/>
  <c r="H71" i="1" s="1"/>
  <c r="H72" i="1" l="1"/>
  <c r="H73" i="1" s="1"/>
  <c r="M58" i="1"/>
  <c r="M59" i="1"/>
  <c r="G42" i="1"/>
  <c r="E39" i="1"/>
  <c r="M41" i="1" l="1"/>
  <c r="M42" i="1" s="1"/>
  <c r="G39" i="1"/>
  <c r="G41" i="1" s="1"/>
  <c r="H42" i="1" s="1"/>
  <c r="H43" i="1" l="1"/>
  <c r="H44" i="1" s="1"/>
  <c r="H45" i="1" l="1"/>
  <c r="H46" i="1" s="1"/>
  <c r="E93" i="1" l="1"/>
  <c r="H49" i="1"/>
  <c r="H54" i="1" s="1"/>
  <c r="B54" i="1" s="1"/>
  <c r="E95" i="1" l="1"/>
  <c r="E96" i="1" s="1"/>
  <c r="E106" i="1"/>
  <c r="E108" i="1" l="1"/>
  <c r="E119" i="1"/>
  <c r="E125" i="1" s="1"/>
  <c r="E126" i="1" s="1"/>
  <c r="F126" i="1" s="1"/>
  <c r="E101" i="1"/>
  <c r="F101" i="1" s="1"/>
  <c r="G101" i="1" s="1"/>
  <c r="H101" i="1" s="1"/>
  <c r="E100" i="1"/>
  <c r="F100" i="1" s="1"/>
  <c r="G100" i="1" s="1"/>
  <c r="H100" i="1" s="1"/>
  <c r="E99" i="1"/>
  <c r="F99" i="1" s="1"/>
  <c r="G99" i="1" s="1"/>
  <c r="H99" i="1" s="1"/>
  <c r="E98" i="1"/>
  <c r="F98" i="1" s="1"/>
  <c r="G98" i="1" s="1"/>
  <c r="H98" i="1" s="1"/>
  <c r="E112" i="1" l="1"/>
  <c r="E110" i="1"/>
  <c r="E116" i="1" l="1"/>
  <c r="F116" i="1" s="1"/>
  <c r="F1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I2" authorId="0" shapeId="0" xr:uid="{74127455-246F-4032-B61C-3DAF51A82006}">
      <text>
        <r>
          <rPr>
            <b/>
            <sz val="8"/>
            <color indexed="81"/>
            <rFont val="Tahoma"/>
            <family val="2"/>
          </rPr>
          <t>RATHORE:</t>
        </r>
        <r>
          <rPr>
            <sz val="8"/>
            <color indexed="81"/>
            <rFont val="Tahoma"/>
            <family val="2"/>
          </rPr>
          <t xml:space="preserve">
</t>
        </r>
      </text>
    </comment>
    <comment ref="B54" authorId="0" shapeId="0" xr:uid="{669BE872-0122-49B9-A059-705D914B974F}">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<sst xmlns="http://schemas.openxmlformats.org/spreadsheetml/2006/main" count="352" uniqueCount="311">
  <si>
    <t>Dr. V.K. Singhania's Book</t>
  </si>
  <si>
    <t xml:space="preserve">A S S E S S M E N T   Y E A R  :  2 0 2 1 - 2  2 </t>
  </si>
  <si>
    <t>Case-9  (Director, Unlisted Shares, Capital Gain, B/f LTCL)</t>
  </si>
  <si>
    <t>Exempted</t>
  </si>
  <si>
    <t>Filing Date</t>
  </si>
  <si>
    <t>65th Edition:  August-2021</t>
  </si>
  <si>
    <t>Case Study-9</t>
  </si>
  <si>
    <t>Pgs  538-539</t>
  </si>
  <si>
    <t>Ghansham Das Arora</t>
  </si>
  <si>
    <t xml:space="preserve">Basic Salary </t>
  </si>
  <si>
    <r>
      <t xml:space="preserve">SALARIES </t>
    </r>
    <r>
      <rPr>
        <sz val="10"/>
        <color theme="1"/>
        <rFont val="Arial"/>
        <family val="2"/>
      </rPr>
      <t>U/S 15-17</t>
    </r>
  </si>
  <si>
    <t>Amount (Rs.)</t>
  </si>
  <si>
    <t>Transport Allowance</t>
  </si>
  <si>
    <t xml:space="preserve">Due date </t>
  </si>
  <si>
    <t>Sec 17(1)</t>
  </si>
  <si>
    <t>Basic Salary and Allowances</t>
  </si>
  <si>
    <t>Travelling Allowance</t>
  </si>
  <si>
    <t>Sec 17(2)</t>
  </si>
  <si>
    <t xml:space="preserve">Value of Perquisites </t>
  </si>
  <si>
    <t>House Rent Allowance</t>
  </si>
  <si>
    <t xml:space="preserve">Nil </t>
  </si>
  <si>
    <t>System Date</t>
  </si>
  <si>
    <t>Sec 17(3)</t>
  </si>
  <si>
    <t xml:space="preserve">Profit in lieu of Salary </t>
  </si>
  <si>
    <t>Conveyance Allowance</t>
  </si>
  <si>
    <t xml:space="preserve">Gross Salary </t>
  </si>
  <si>
    <r>
      <t xml:space="preserve">      (Exempted 42710, </t>
    </r>
    <r>
      <rPr>
        <sz val="9"/>
        <color rgb="FF0000FF"/>
        <rFont val="Arial"/>
        <family val="2"/>
      </rPr>
      <t xml:space="preserve">Received 40000) </t>
    </r>
  </si>
  <si>
    <t>Late Fees</t>
  </si>
  <si>
    <t>Sec 10</t>
  </si>
  <si>
    <t>Less Exempt Allowances (40000 + 310000)</t>
  </si>
  <si>
    <t>Jan-Mar 22</t>
  </si>
  <si>
    <t xml:space="preserve">Net Salary </t>
  </si>
  <si>
    <t xml:space="preserve">Leave Travel Concession </t>
  </si>
  <si>
    <t>Sec 16(ia)</t>
  </si>
  <si>
    <t>Less Standard  Deduction</t>
  </si>
  <si>
    <t xml:space="preserve">Profit in Lieu of salary (Taxable) </t>
  </si>
  <si>
    <r>
      <t xml:space="preserve">HOUSE PROPERTY </t>
    </r>
    <r>
      <rPr>
        <sz val="10"/>
        <color theme="1"/>
        <rFont val="Arial"/>
        <family val="2"/>
      </rPr>
      <t>U/S 22-27</t>
    </r>
  </si>
  <si>
    <t>Self-Occupied</t>
  </si>
  <si>
    <t xml:space="preserve"> (Compensation, etc) </t>
  </si>
  <si>
    <t xml:space="preserve">Annual Value </t>
  </si>
  <si>
    <t xml:space="preserve">Municipal Taxes Paid </t>
  </si>
  <si>
    <t xml:space="preserve">Less  Municipal Taxes Paid </t>
  </si>
  <si>
    <t>Intt on Loan to Purchase Prop</t>
  </si>
  <si>
    <t>Sec 24</t>
  </si>
  <si>
    <t>LESS: Deduction</t>
  </si>
  <si>
    <t xml:space="preserve">Intt on H  Loan </t>
  </si>
  <si>
    <r>
      <t xml:space="preserve">CAPITAL GAINS </t>
    </r>
    <r>
      <rPr>
        <sz val="10"/>
        <color theme="1"/>
        <rFont val="Arial"/>
        <family val="2"/>
      </rPr>
      <t>U/S 45 - 55</t>
    </r>
  </si>
  <si>
    <t>SHORT TERM CAPITAL GAIN</t>
  </si>
  <si>
    <t>Sale of Jewellery  on 25-05-20</t>
  </si>
  <si>
    <t xml:space="preserve">LONG TERM CAPITAL GAIN - Jewellery </t>
  </si>
  <si>
    <t xml:space="preserve">Acquistion Cost (FY 1998-99) </t>
  </si>
  <si>
    <t xml:space="preserve">Sale Consideration </t>
  </si>
  <si>
    <t>Fair Market Value  on 01-04-2001</t>
  </si>
  <si>
    <t>CII = 301</t>
  </si>
  <si>
    <t xml:space="preserve">Less Indexed Acq Cost </t>
  </si>
  <si>
    <t xml:space="preserve">(91000 * 301 / 100) </t>
  </si>
  <si>
    <t>Cost Inflation Index:  FY 2001-02 = 100 &amp; FY 2020-21 = 301</t>
  </si>
  <si>
    <t xml:space="preserve">Less LTC Loss B/f AY 2014-15  (ITR Filed on 01-07-14) </t>
  </si>
  <si>
    <t xml:space="preserve">LTC Loss B/f AY 2014-15  (ITR Filed on 01-07-14) </t>
  </si>
  <si>
    <r>
      <t xml:space="preserve">OTHER SOURCES </t>
    </r>
    <r>
      <rPr>
        <sz val="10"/>
        <color theme="1"/>
        <rFont val="Arial"/>
        <family val="2"/>
      </rPr>
      <t>U/S 56-59</t>
    </r>
  </si>
  <si>
    <t xml:space="preserve">Saving Bank Interest </t>
  </si>
  <si>
    <r>
      <t>Bank Fixed Deposit Interest</t>
    </r>
    <r>
      <rPr>
        <b/>
        <sz val="9"/>
        <color rgb="FFC00000"/>
        <rFont val="Arial"/>
        <family val="2"/>
      </rPr>
      <t xml:space="preserve"> </t>
    </r>
  </si>
  <si>
    <t>Bank FDR Intt (Net of TDS @ 10%)</t>
  </si>
  <si>
    <t>TDS 200000</t>
  </si>
  <si>
    <t>Gift from Non-Relative exceeding Rs. 50000</t>
  </si>
  <si>
    <t>Gift from Sasura's Friend</t>
  </si>
  <si>
    <t>GROSS TOTAL INCOME</t>
  </si>
  <si>
    <t xml:space="preserve">LESS: DEDUCTIONS UNDER CHAPTER VI-A </t>
  </si>
  <si>
    <t xml:space="preserve">Sec  80C </t>
  </si>
  <si>
    <t>Recognised Prov Fund</t>
  </si>
  <si>
    <t>Max 150000</t>
  </si>
  <si>
    <t>Public Prov Fund</t>
  </si>
  <si>
    <r>
      <t xml:space="preserve">Sec  80CCD(1B) </t>
    </r>
    <r>
      <rPr>
        <sz val="9"/>
        <color theme="1"/>
        <rFont val="Arial"/>
        <family val="2"/>
      </rPr>
      <t>New Pension Scheme  Max 50000</t>
    </r>
  </si>
  <si>
    <t xml:space="preserve">NPS </t>
  </si>
  <si>
    <t>Sec 80D</t>
  </si>
  <si>
    <t xml:space="preserve">Mediclaim to Parents allowed </t>
  </si>
  <si>
    <t>Medical Ins Prem - Parents In-laws</t>
  </si>
  <si>
    <t>Sec 80GGC</t>
  </si>
  <si>
    <t>Cash not allowed</t>
  </si>
  <si>
    <t xml:space="preserve">Donation to a Political Party in Cash </t>
  </si>
  <si>
    <t xml:space="preserve">only cash not allowed </t>
  </si>
  <si>
    <r>
      <t xml:space="preserve">Donation to </t>
    </r>
    <r>
      <rPr>
        <sz val="9"/>
        <color theme="1"/>
        <rFont val="Arial"/>
        <family val="2"/>
      </rPr>
      <t>other Political Party Bearer Cheque</t>
    </r>
  </si>
  <si>
    <t xml:space="preserve">Sec 80G </t>
  </si>
  <si>
    <t>PM National Relief Fund</t>
  </si>
  <si>
    <r>
      <t xml:space="preserve">Donation to </t>
    </r>
    <r>
      <rPr>
        <sz val="9"/>
        <color theme="1"/>
        <rFont val="Arial"/>
        <family val="2"/>
      </rPr>
      <t>PM National Relief Fund by Cheque</t>
    </r>
  </si>
  <si>
    <t>Sec 80TTB</t>
  </si>
  <si>
    <t>SB/FD Intt</t>
  </si>
  <si>
    <t xml:space="preserve"> PMNRF, South Block, New Delhi-110011</t>
  </si>
  <si>
    <t>AACTP4637Q</t>
  </si>
  <si>
    <t xml:space="preserve">TOTAL  INCOME </t>
  </si>
  <si>
    <t>Rounding Off u/s 288A</t>
  </si>
  <si>
    <t xml:space="preserve">TAX ON TOTAL INCOME </t>
  </si>
  <si>
    <t xml:space="preserve">INCOME  </t>
  </si>
  <si>
    <t>RATE</t>
  </si>
  <si>
    <t>TAX</t>
  </si>
  <si>
    <t xml:space="preserve">Income tax </t>
  </si>
  <si>
    <t>NORMAL INCOME</t>
  </si>
  <si>
    <t>300,000  to  500,000</t>
  </si>
  <si>
    <t xml:space="preserve">LTCG </t>
  </si>
  <si>
    <t>SPECIAL INCOME</t>
  </si>
  <si>
    <t>500,000 to 1000,000</t>
  </si>
  <si>
    <t xml:space="preserve">      Above   1000,000</t>
  </si>
  <si>
    <t>Sec 87A</t>
  </si>
  <si>
    <r>
      <t xml:space="preserve">LESS : REBATE  </t>
    </r>
    <r>
      <rPr>
        <sz val="8"/>
        <color theme="1"/>
        <rFont val="Arial Narrow"/>
        <family val="2"/>
      </rPr>
      <t>(Rs. 12500, if Total Income upto Rs. 5 Lakhs)</t>
    </r>
  </si>
  <si>
    <r>
      <t xml:space="preserve">ADD : SURCHARGE  </t>
    </r>
    <r>
      <rPr>
        <sz val="8"/>
        <color theme="1"/>
        <rFont val="Arial"/>
        <family val="2"/>
      </rPr>
      <t>(10 % / 15% / 25% / 37%)</t>
    </r>
  </si>
  <si>
    <t>Details of Assets &amp; Liabilities</t>
  </si>
  <si>
    <t xml:space="preserve">Acq Cost </t>
  </si>
  <si>
    <t>Mkt value</t>
  </si>
  <si>
    <t>Wealth Tax</t>
  </si>
  <si>
    <t xml:space="preserve">ADD : HEALTH &amp; EDUCATION CESS (4 % on Income Tax + Surcharge) </t>
  </si>
  <si>
    <t>35 Yrs</t>
  </si>
  <si>
    <t>Jewellery (1984-85)</t>
  </si>
  <si>
    <r>
      <t>TOTAL TAX PAYABLE</t>
    </r>
    <r>
      <rPr>
        <sz val="10"/>
        <color theme="1"/>
        <rFont val="Arial"/>
        <family val="2"/>
      </rPr>
      <t xml:space="preserve"> (including Surcharge &amp; Cesses) </t>
    </r>
  </si>
  <si>
    <t xml:space="preserve">20 yrs </t>
  </si>
  <si>
    <t>Self-Occpuied Resi House Property</t>
  </si>
  <si>
    <t xml:space="preserve">ADD : INTEREST U/S 234A, 234B &amp; 234C </t>
  </si>
  <si>
    <t>Interest till the date of making Video i.e 17/10/21</t>
  </si>
  <si>
    <t>Cash in Hand</t>
  </si>
  <si>
    <t xml:space="preserve">ADD : Late Fees U/S 234F </t>
  </si>
  <si>
    <t>Rs. 5000 (Jan-Mar 2022)</t>
  </si>
  <si>
    <t xml:space="preserve">Shares (org Cost) </t>
  </si>
  <si>
    <t>TOTAL TAX AND INTEREST PAYABLE</t>
  </si>
  <si>
    <t xml:space="preserve">Total of Assets (4300,000 + 4410,000 + 56,718 + 1000,000) </t>
  </si>
  <si>
    <t xml:space="preserve">TAX PAID U/S 199 : </t>
  </si>
  <si>
    <t xml:space="preserve">T. D. S.  U/S 192 </t>
  </si>
  <si>
    <t>Employer</t>
  </si>
  <si>
    <t>TDS to be deducted  by the Employer</t>
  </si>
  <si>
    <t xml:space="preserve">T. D. S.  U/S 194A </t>
  </si>
  <si>
    <t>SBI</t>
  </si>
  <si>
    <t xml:space="preserve">Salary after Std Deduction </t>
  </si>
  <si>
    <t>Self-Assessment Tax Paid</t>
  </si>
  <si>
    <t>Rounding Off u/s 288B</t>
  </si>
  <si>
    <t>Less Deds 80C, 80CCD (1B), 80G</t>
  </si>
  <si>
    <t xml:space="preserve">Tax Cals by Dr SB Rathore, Former Associate Professor of Commerce;  42 yrs Teaching Experience (Oct-77 to Dec-19) in Shyam Lal College (University of Delhi) </t>
  </si>
  <si>
    <t>Website: www.taxclasses.in</t>
  </si>
  <si>
    <t xml:space="preserve">FaceBook: DrSB Rathore </t>
  </si>
  <si>
    <t xml:space="preserve">YouTube: Dr Rathore's tax Video Lectures (No Advertisements) </t>
  </si>
  <si>
    <t xml:space="preserve">Income Tax </t>
  </si>
  <si>
    <t xml:space="preserve">Surcharge </t>
  </si>
  <si>
    <t xml:space="preserve">Resi  to Office </t>
  </si>
  <si>
    <t xml:space="preserve">Sec 10(14) (ii) </t>
  </si>
  <si>
    <t>No Exemption @ 1600 pm</t>
  </si>
  <si>
    <t xml:space="preserve">Taxable </t>
  </si>
  <si>
    <t xml:space="preserve">HEC </t>
  </si>
  <si>
    <t xml:space="preserve">Local </t>
  </si>
  <si>
    <t xml:space="preserve">Sec 10(14) (i) </t>
  </si>
  <si>
    <t>Received</t>
  </si>
  <si>
    <t>Less Spent</t>
  </si>
  <si>
    <t xml:space="preserve">Diff Taxable </t>
  </si>
  <si>
    <t xml:space="preserve">Out of Station </t>
  </si>
  <si>
    <t>New Tax Rates Regime</t>
  </si>
  <si>
    <r>
      <t xml:space="preserve">Surcharge 10%, Gift, </t>
    </r>
    <r>
      <rPr>
        <b/>
        <sz val="10"/>
        <color rgb="FFAA1695"/>
        <rFont val="Arial"/>
        <family val="2"/>
      </rPr>
      <t xml:space="preserve">LTCL B/f, </t>
    </r>
    <r>
      <rPr>
        <b/>
        <sz val="10"/>
        <color theme="6" tint="-0.249977111117893"/>
        <rFont val="Arial"/>
        <family val="2"/>
      </rPr>
      <t>WT Return</t>
    </r>
  </si>
  <si>
    <t>Salaries</t>
  </si>
  <si>
    <t xml:space="preserve">63+ yrs old </t>
  </si>
  <si>
    <t>House Property</t>
  </si>
  <si>
    <t xml:space="preserve">Karnataka - Resi / Working </t>
  </si>
  <si>
    <t>Capital Gain</t>
  </si>
  <si>
    <r>
      <t xml:space="preserve">Director - </t>
    </r>
    <r>
      <rPr>
        <sz val="10"/>
        <color rgb="FFAA1695"/>
        <rFont val="Arial"/>
        <family val="2"/>
      </rPr>
      <t>Radha Motors Ltd</t>
    </r>
    <r>
      <rPr>
        <sz val="10"/>
        <color theme="1"/>
        <rFont val="Arial"/>
        <family val="2"/>
      </rPr>
      <t xml:space="preserve">  -Shareholding in Unlisted Co </t>
    </r>
  </si>
  <si>
    <t>Other Sources</t>
  </si>
  <si>
    <t xml:space="preserve">Bank Account - SBI </t>
  </si>
  <si>
    <t>Total income</t>
  </si>
  <si>
    <t xml:space="preserve">ITR Filed </t>
  </si>
  <si>
    <t>Basic Salary @ 4 Lakhs p.m.</t>
  </si>
  <si>
    <t>TA-HRA-LTC</t>
  </si>
  <si>
    <t xml:space="preserve">Surcharge 25% </t>
  </si>
  <si>
    <t xml:space="preserve">Profit in Lieu of Salary-Compensation </t>
  </si>
  <si>
    <t xml:space="preserve">House - SOP </t>
  </si>
  <si>
    <t xml:space="preserve">Municipal Taxes </t>
  </si>
  <si>
    <t>Total Liability</t>
  </si>
  <si>
    <t xml:space="preserve">Intt on Housing Loan </t>
  </si>
  <si>
    <t>Sale of Jewellery (25-05-20)</t>
  </si>
  <si>
    <t>Tax @ 22.88%</t>
  </si>
  <si>
    <t>Bought in FY 1998-99</t>
  </si>
  <si>
    <t xml:space="preserve">   Upto             2,50,000</t>
  </si>
  <si>
    <t>FMV  01-04-01</t>
  </si>
  <si>
    <t>2,50,001   to    5,00,000</t>
  </si>
  <si>
    <t>LTCL B/f AY 2014-15</t>
  </si>
  <si>
    <t>5,00,001   to    7,50,000</t>
  </si>
  <si>
    <t>7,50,001   to  10,00,000</t>
  </si>
  <si>
    <t>S B Interest</t>
  </si>
  <si>
    <t>10,00,001 to  12,50,000</t>
  </si>
  <si>
    <t xml:space="preserve">SBI-FDR Intt Net 18 Lakhs </t>
  </si>
  <si>
    <t xml:space="preserve">20 Lakhs </t>
  </si>
  <si>
    <t>12,50,001  to  15,00,000</t>
  </si>
  <si>
    <t xml:space="preserve">Gift In Cash (Sasura-Dost) </t>
  </si>
  <si>
    <t>Cash</t>
  </si>
  <si>
    <t xml:space="preserve">   Above         15,00,000</t>
  </si>
  <si>
    <t>Deductions</t>
  </si>
  <si>
    <t>Part -B</t>
  </si>
  <si>
    <t>80C - 80GGC</t>
  </si>
  <si>
    <t xml:space="preserve">No Change </t>
  </si>
  <si>
    <t>PF-PPF</t>
  </si>
  <si>
    <t>Part -C</t>
  </si>
  <si>
    <t>80H - 80RRB</t>
  </si>
  <si>
    <t>Rebate u/s 87A (if TI upto  5 Lakhs)</t>
  </si>
  <si>
    <t>NPS</t>
  </si>
  <si>
    <t>Part- CA</t>
  </si>
  <si>
    <t>80TTA, 80TTB</t>
  </si>
  <si>
    <t>25%  Surcharge   (TI 200 Lakhs - 500 Lakhs)</t>
  </si>
  <si>
    <t>80D- In-laws - Not Allowed</t>
  </si>
  <si>
    <t>Part-D</t>
  </si>
  <si>
    <t>80U</t>
  </si>
  <si>
    <t>Health &amp; Education Cess @ 4%</t>
  </si>
  <si>
    <t xml:space="preserve">Donation </t>
  </si>
  <si>
    <t>Cash to  Political Party</t>
  </si>
  <si>
    <t>Not Allowed</t>
  </si>
  <si>
    <t xml:space="preserve">Cash to Political Party by Bearer Cheque </t>
  </si>
  <si>
    <t>PMNRF  Allowed</t>
  </si>
  <si>
    <t>TDS  - TAN Edited</t>
  </si>
  <si>
    <t xml:space="preserve">Bank </t>
  </si>
  <si>
    <t xml:space="preserve">Calculation  of Interest under Sections 234A, 234B &amp; 234C </t>
  </si>
  <si>
    <t>Total Interest</t>
  </si>
  <si>
    <t xml:space="preserve">Employer (12,38,000)  SBI (200000) </t>
  </si>
  <si>
    <t>Section 234C: In case of Non-Sr Citizen: If  Amount Exceeds Rs. 10000</t>
  </si>
  <si>
    <t>Self Tax  Paid 04/04/21</t>
  </si>
  <si>
    <t>Total Tax, Surcharge &amp; Cess</t>
  </si>
  <si>
    <r>
      <t>Assets and Liability</t>
    </r>
    <r>
      <rPr>
        <sz val="10"/>
        <color rgb="FF0000FF"/>
        <rFont val="Arial"/>
        <family val="2"/>
      </rPr>
      <t xml:space="preserve"> </t>
    </r>
    <r>
      <rPr>
        <sz val="10"/>
        <color rgb="FFAA1695"/>
        <rFont val="Arial"/>
        <family val="2"/>
      </rPr>
      <t xml:space="preserve"> (Acq - MV - WT) </t>
    </r>
  </si>
  <si>
    <t>Less TDS by the Employer, Bank</t>
  </si>
  <si>
    <t xml:space="preserve">Jewellery (FY 1984-85) 50,000  - 72 Lakhs - 43 Lakhs </t>
  </si>
  <si>
    <t xml:space="preserve">Liability for Advance tax </t>
  </si>
  <si>
    <t>SOP House (4,60,000 - NA - 44,10, 000)</t>
  </si>
  <si>
    <t>Cash 56718</t>
  </si>
  <si>
    <t>Deposit Date</t>
  </si>
  <si>
    <t xml:space="preserve">Tax Amount </t>
  </si>
  <si>
    <t>Last Date</t>
  </si>
  <si>
    <t xml:space="preserve">Amount </t>
  </si>
  <si>
    <t>Round Down by 100</t>
  </si>
  <si>
    <t xml:space="preserve">Shortfall </t>
  </si>
  <si>
    <t>Interest</t>
  </si>
  <si>
    <t xml:space="preserve">Month </t>
  </si>
  <si>
    <t>Interest u/s 234C</t>
  </si>
  <si>
    <t>Oct</t>
  </si>
  <si>
    <t xml:space="preserve">Nov </t>
  </si>
  <si>
    <t xml:space="preserve">Dec </t>
  </si>
  <si>
    <t>NIL</t>
  </si>
  <si>
    <t>Section 234B:  If  Amount Exceeds Rs. 10000 (Less than 90 %.....)</t>
  </si>
  <si>
    <t xml:space="preserve"> Tax Liability after TDS</t>
  </si>
  <si>
    <t>Advance Tax   till 31-03-2021</t>
  </si>
  <si>
    <t>Interest u/s 234B</t>
  </si>
  <si>
    <t xml:space="preserve">Tax Liability after Advance Tax </t>
  </si>
  <si>
    <t xml:space="preserve">Self-Assessment Tax Paid </t>
  </si>
  <si>
    <t xml:space="preserve">Adjusted for  Intt u/s 234B &amp; 234C  </t>
  </si>
  <si>
    <t xml:space="preserve">Net Amt Paid </t>
  </si>
  <si>
    <t>Tax Liability after Self-Assessment Tax</t>
  </si>
  <si>
    <t>Section 234A:  If Amount Exceeds Rs. 100000</t>
  </si>
  <si>
    <t>Less Advance tax paid by 31-03-2021</t>
  </si>
  <si>
    <t>Interest u/s 234A</t>
  </si>
  <si>
    <t>Add Interest u/s 234C till 31-03-2021</t>
  </si>
  <si>
    <t>Add Interest u/s 234B till 30-06-2021</t>
  </si>
  <si>
    <t>Less Self-Assessment Tax on 04-07-21</t>
  </si>
  <si>
    <t xml:space="preserve">Sec 10(14) : Special Allowances prescribed as exempt </t>
  </si>
  <si>
    <t>Granted &amp; Incurred</t>
  </si>
  <si>
    <t>Sec 10(14)(i) : Exemption depend upon Actual Expenditure by the Employee</t>
  </si>
  <si>
    <t xml:space="preserve">Lower of (a) Allowance Amount or (b) Amount spent for specific purose </t>
  </si>
  <si>
    <r>
      <t>(</t>
    </r>
    <r>
      <rPr>
        <i/>
        <sz val="9"/>
        <color rgb="FF3E3E3E"/>
        <rFont val="Arial"/>
        <family val="2"/>
      </rPr>
      <t>a</t>
    </r>
    <r>
      <rPr>
        <sz val="9"/>
        <color rgb="FF3E3E3E"/>
        <rFont val="Arial"/>
        <family val="2"/>
      </rPr>
      <t>)</t>
    </r>
  </si>
  <si>
    <t>any allowance granted to meet the cost of travel on tour or on transfer;</t>
  </si>
  <si>
    <t>Travelling / Tour</t>
  </si>
  <si>
    <r>
      <t>(</t>
    </r>
    <r>
      <rPr>
        <i/>
        <sz val="9"/>
        <color rgb="FF3E3E3E"/>
        <rFont val="Arial"/>
        <family val="2"/>
      </rPr>
      <t>b</t>
    </r>
    <r>
      <rPr>
        <sz val="9"/>
        <color rgb="FF3E3E3E"/>
        <rFont val="Arial"/>
        <family val="2"/>
      </rPr>
      <t>)</t>
    </r>
  </si>
  <si>
    <t>any allowance, whether, granted on tour or for the period of journey in connection with transfer, to meet the ordinary daily charges incurred by an employee on account of absence from his normal place of duty;</t>
  </si>
  <si>
    <t>Conveyance</t>
  </si>
  <si>
    <r>
      <t>(</t>
    </r>
    <r>
      <rPr>
        <i/>
        <sz val="9"/>
        <color rgb="FF3E3E3E"/>
        <rFont val="Arial"/>
        <family val="2"/>
      </rPr>
      <t>c</t>
    </r>
    <r>
      <rPr>
        <sz val="9"/>
        <color rgb="FF3E3E3E"/>
        <rFont val="Arial"/>
        <family val="2"/>
      </rPr>
      <t>)</t>
    </r>
  </si>
  <si>
    <t>any allowance granted to meet the expenditure incurred on con-veyance in performance of duties of an office or employment of profit :</t>
  </si>
  <si>
    <t xml:space="preserve">Daily </t>
  </si>
  <si>
    <r>
      <t>(</t>
    </r>
    <r>
      <rPr>
        <i/>
        <sz val="9"/>
        <color rgb="FF3E3E3E"/>
        <rFont val="Arial"/>
        <family val="2"/>
      </rPr>
      <t>d</t>
    </r>
    <r>
      <rPr>
        <sz val="9"/>
        <color rgb="FF3E3E3E"/>
        <rFont val="Arial"/>
        <family val="2"/>
      </rPr>
      <t>)</t>
    </r>
  </si>
  <si>
    <t>any allowance granted to meet the expenditure incurred on a helper where such helper is engaged for the performance of the duties of an office or employment of profit;</t>
  </si>
  <si>
    <t>Helper</t>
  </si>
  <si>
    <r>
      <t>(</t>
    </r>
    <r>
      <rPr>
        <i/>
        <sz val="9"/>
        <color rgb="FF3E3E3E"/>
        <rFont val="Arial"/>
        <family val="2"/>
      </rPr>
      <t>e</t>
    </r>
    <r>
      <rPr>
        <sz val="9"/>
        <color rgb="FF3E3E3E"/>
        <rFont val="Arial"/>
        <family val="2"/>
      </rPr>
      <t>)</t>
    </r>
  </si>
  <si>
    <t>any allowance granted for encouraging the academic, research and training pursuits in educational and research institutions;</t>
  </si>
  <si>
    <t>Research</t>
  </si>
  <si>
    <r>
      <t>(</t>
    </r>
    <r>
      <rPr>
        <i/>
        <sz val="9"/>
        <color rgb="FF3E3E3E"/>
        <rFont val="Arial"/>
        <family val="2"/>
      </rPr>
      <t>f</t>
    </r>
    <r>
      <rPr>
        <sz val="9"/>
        <color rgb="FF3E3E3E"/>
        <rFont val="Arial"/>
        <family val="2"/>
      </rPr>
      <t>)</t>
    </r>
  </si>
  <si>
    <t>any allowance granted to meet the expenditure incurred on the purchase or maintenance of uniform for wear during the performance of the duties of an office or employment of profit.</t>
  </si>
  <si>
    <t>Uniform</t>
  </si>
  <si>
    <r>
      <t>Explanation</t>
    </r>
    <r>
      <rPr>
        <sz val="8"/>
        <color rgb="FF3E3E3E"/>
        <rFont val="Times New Roman"/>
        <family val="1"/>
      </rPr>
      <t> : For the purpose of clause (</t>
    </r>
    <r>
      <rPr>
        <i/>
        <sz val="8"/>
        <color rgb="FF3E3E3E"/>
        <rFont val="Times New Roman"/>
        <family val="1"/>
      </rPr>
      <t>a</t>
    </r>
    <r>
      <rPr>
        <sz val="8"/>
        <color rgb="FF3E3E3E"/>
        <rFont val="Times New Roman"/>
        <family val="1"/>
      </rPr>
      <t>), “allowance granted to meet the cost of travel on transfer” includes any sum paid in connection with transfer, packing and transportation of personal effects on such transfer.</t>
    </r>
  </si>
  <si>
    <t>for Clause © Provided that free conveyance is not provided by the employer;</t>
  </si>
  <si>
    <t xml:space="preserve">Granted </t>
  </si>
  <si>
    <t>Sec 10(14)(ii) : Exemption not dependent upon Actual Expenditure</t>
  </si>
  <si>
    <t>Lower of (a) Allowance Amount or (b) Amount specified in Rule 2BB</t>
  </si>
  <si>
    <t>Children Education  Allow</t>
  </si>
  <si>
    <t>Rs. 100 per month per child subject to max of  2 Children</t>
  </si>
  <si>
    <t>Hostel Expenditure Allow</t>
  </si>
  <si>
    <t>Rs. 300 per month per child subject to max of  2 Children</t>
  </si>
  <si>
    <t>Border Area Allowance</t>
  </si>
  <si>
    <t>Range Rs. 200 per month to Rs. 1300 per month</t>
  </si>
  <si>
    <t>Tribal Area/Scheduled Area</t>
  </si>
  <si>
    <t>Rs. 200 per month</t>
  </si>
  <si>
    <t xml:space="preserve">High Altitude Allowance </t>
  </si>
  <si>
    <t xml:space="preserve">Rs. 1060 per month (Altitude 9000 to 15000 feet); 1600 pm (Above 15000 Feet) </t>
  </si>
  <si>
    <t xml:space="preserve">Island Duty Allowance </t>
  </si>
  <si>
    <t xml:space="preserve">Rs. 3250 per month  (Andaman &amp; Nocobar;  Lakshadweep) </t>
  </si>
  <si>
    <t xml:space="preserve">Highly Active Field </t>
  </si>
  <si>
    <t xml:space="preserve">Rs. 4200 per month </t>
  </si>
  <si>
    <t>Transport Allow (Sec 80U)</t>
  </si>
  <si>
    <t xml:space="preserve">Rs. 3200 per month </t>
  </si>
  <si>
    <t xml:space="preserve">Sec 17 (1) </t>
  </si>
  <si>
    <t>Less Allowances u/s 10</t>
  </si>
  <si>
    <t xml:space="preserve">Less Deds u/s 16 </t>
  </si>
  <si>
    <t xml:space="preserve">Sec 10(5) Leave Travel </t>
  </si>
  <si>
    <t xml:space="preserve">Std Ded  u/s 16 (ia) </t>
  </si>
  <si>
    <t>Dearness Allowance</t>
  </si>
  <si>
    <t>Sec 10(13A) HRA</t>
  </si>
  <si>
    <t>Employment Tax</t>
  </si>
  <si>
    <t xml:space="preserve">Sec 10(14)(i) Conveyance </t>
  </si>
  <si>
    <t>Sec 10(14)(iI) CEA</t>
  </si>
  <si>
    <t>Leave Travel Allowance</t>
  </si>
  <si>
    <t>Children Edu Allowance</t>
  </si>
  <si>
    <t>Other Allowances</t>
  </si>
  <si>
    <t xml:space="preserve">Sec 17 (2) Perks </t>
  </si>
  <si>
    <t xml:space="preserve">Accommodation </t>
  </si>
  <si>
    <t xml:space="preserve">Car </t>
  </si>
  <si>
    <t>Others</t>
  </si>
  <si>
    <t xml:space="preserve">Sec 17 (3) Profit In lieu of Salary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</si>
</sst>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70" x14ac:knownFonts="1">
    <font>
      <sz val="10"/>
      <name val="Arial"/>
    </font>
    <font>
      <sz val="10"/>
      <name val="Arial"/>
      <family val="2"/>
    </font>
    <font>
      <b/>
      <sz val="8"/>
      <color rgb="FF2B0CE4"/>
      <name val="Arial"/>
      <family val="2"/>
    </font>
    <font>
      <sz val="11"/>
      <color theme="1"/>
      <name val="Arial"/>
      <family val="2"/>
    </font>
    <font>
      <sz val="10"/>
      <color rgb="FFC00000"/>
      <name val="Arial Narrow"/>
      <family val="2"/>
    </font>
    <font>
      <sz val="10"/>
      <color theme="1"/>
      <name val="Arial"/>
      <family val="2"/>
    </font>
    <font>
      <sz val="9"/>
      <color rgb="FF0000FF"/>
      <name val="Arial"/>
      <family val="2"/>
    </font>
    <font>
      <b/>
      <sz val="8"/>
      <color rgb="FFC00000"/>
      <name val="Arial"/>
      <family val="2"/>
    </font>
    <font>
      <b/>
      <sz val="9"/>
      <color theme="1"/>
      <name val="Arial"/>
      <family val="2"/>
    </font>
    <font>
      <sz val="8"/>
      <color theme="1"/>
      <name val="Arial"/>
      <family val="2"/>
    </font>
    <font>
      <sz val="10"/>
      <color rgb="FF0000FF"/>
      <name val="Arial"/>
      <family val="2"/>
    </font>
    <font>
      <sz val="9"/>
      <color rgb="FFC00000"/>
      <name val="Arial"/>
      <family val="2"/>
    </font>
    <font>
      <b/>
      <sz val="8"/>
      <color rgb="FF0000FF"/>
      <name val="Arial"/>
      <family val="2"/>
    </font>
    <font>
      <b/>
      <u/>
      <sz val="10"/>
      <color theme="1"/>
      <name val="Arial"/>
      <family val="2"/>
    </font>
    <font>
      <b/>
      <sz val="8"/>
      <color theme="1"/>
      <name val="Arial"/>
      <family val="2"/>
    </font>
    <font>
      <sz val="9"/>
      <color theme="1"/>
      <name val="Arial"/>
      <family val="2"/>
    </font>
    <font>
      <b/>
      <sz val="10"/>
      <color theme="1"/>
      <name val="Arial"/>
      <family val="2"/>
    </font>
    <font>
      <i/>
      <sz val="10"/>
      <color theme="1"/>
      <name val="Arial"/>
      <family val="2"/>
    </font>
    <font>
      <b/>
      <sz val="8"/>
      <name val="Arial"/>
      <family val="2"/>
    </font>
    <font>
      <i/>
      <sz val="9"/>
      <color theme="1"/>
      <name val="Arial"/>
      <family val="2"/>
    </font>
    <font>
      <b/>
      <sz val="10"/>
      <color rgb="FF0000FF"/>
      <name val="Arial"/>
      <family val="2"/>
    </font>
    <font>
      <sz val="9"/>
      <color rgb="FF7030A0"/>
      <name val="Arial"/>
      <family val="2"/>
    </font>
    <font>
      <sz val="9"/>
      <name val="Arial"/>
      <family val="2"/>
    </font>
    <font>
      <sz val="8"/>
      <color theme="1"/>
      <name val="Arial Narrow"/>
      <family val="2"/>
    </font>
    <font>
      <b/>
      <sz val="9"/>
      <color rgb="FFC00000"/>
      <name val="Arial"/>
      <family val="2"/>
    </font>
    <font>
      <u/>
      <sz val="10"/>
      <color theme="1"/>
      <name val="Arial"/>
      <family val="2"/>
    </font>
    <font>
      <i/>
      <u/>
      <sz val="10"/>
      <color theme="1"/>
      <name val="Arial"/>
      <family val="2"/>
    </font>
    <font>
      <sz val="10"/>
      <color theme="3" tint="-0.249977111117893"/>
      <name val="Arial"/>
      <family val="2"/>
    </font>
    <font>
      <sz val="8"/>
      <color rgb="FF0000FF"/>
      <name val="Arial"/>
      <family val="2"/>
    </font>
    <font>
      <b/>
      <sz val="9"/>
      <color rgb="FF0000FF"/>
      <name val="Arial"/>
      <family val="2"/>
    </font>
    <font>
      <i/>
      <sz val="8"/>
      <color theme="1"/>
      <name val="Arial"/>
      <family val="2"/>
    </font>
    <font>
      <b/>
      <sz val="10"/>
      <color rgb="FFC00000"/>
      <name val="Arial Narrow"/>
      <family val="2"/>
    </font>
    <font>
      <b/>
      <sz val="10"/>
      <name val="Arial"/>
      <family val="2"/>
    </font>
    <font>
      <sz val="9"/>
      <color rgb="FF00B0F0"/>
      <name val="Arial"/>
      <family val="2"/>
    </font>
    <font>
      <sz val="10"/>
      <color theme="1"/>
      <name val="Arial Narrow"/>
      <family val="2"/>
    </font>
    <font>
      <sz val="9"/>
      <color theme="1"/>
      <name val="Arial Narrow"/>
      <family val="2"/>
    </font>
    <font>
      <b/>
      <sz val="9"/>
      <color theme="7" tint="-0.249977111117893"/>
      <name val="Arial"/>
      <family val="2"/>
    </font>
    <font>
      <sz val="8"/>
      <color rgb="FF2B0CE4"/>
      <name val="Arial Narrow"/>
      <family val="2"/>
    </font>
    <font>
      <sz val="8"/>
      <name val="Arial"/>
      <family val="2"/>
    </font>
    <font>
      <sz val="9"/>
      <color theme="9" tint="-0.249977111117893"/>
      <name val="Arial"/>
      <family val="2"/>
    </font>
    <font>
      <sz val="8"/>
      <name val="Arial Narrow"/>
      <family val="2"/>
    </font>
    <font>
      <sz val="8"/>
      <color theme="5" tint="-0.249977111117893"/>
      <name val="Arial Narrow"/>
      <family val="2"/>
    </font>
    <font>
      <sz val="8"/>
      <color rgb="FF7030A0"/>
      <name val="Arial Narrow"/>
      <family val="2"/>
    </font>
    <font>
      <sz val="10"/>
      <color rgb="FFC00000"/>
      <name val="Arial"/>
      <family val="2"/>
    </font>
    <font>
      <b/>
      <sz val="10"/>
      <color rgb="FFAA1695"/>
      <name val="Arial"/>
      <family val="2"/>
    </font>
    <font>
      <b/>
      <sz val="10"/>
      <color theme="6" tint="-0.249977111117893"/>
      <name val="Arial"/>
      <family val="2"/>
    </font>
    <font>
      <sz val="10"/>
      <color rgb="FFAA1695"/>
      <name val="Arial"/>
      <family val="2"/>
    </font>
    <font>
      <b/>
      <sz val="10"/>
      <color rgb="FFC00000"/>
      <name val="Arial"/>
      <family val="2"/>
    </font>
    <font>
      <b/>
      <sz val="10"/>
      <color theme="4" tint="-0.249977111117893"/>
      <name val="Arial"/>
      <family val="2"/>
    </font>
    <font>
      <i/>
      <sz val="10"/>
      <color rgb="FFAA1695"/>
      <name val="Arial"/>
      <family val="2"/>
    </font>
    <font>
      <b/>
      <sz val="10"/>
      <color rgb="FF00B050"/>
      <name val="Arial"/>
      <family val="2"/>
    </font>
    <font>
      <b/>
      <sz val="10"/>
      <color indexed="12"/>
      <name val="Arial"/>
      <family val="2"/>
    </font>
    <font>
      <b/>
      <sz val="9"/>
      <color theme="9" tint="-0.249977111117893"/>
      <name val="Arial"/>
      <family val="2"/>
    </font>
    <font>
      <sz val="10"/>
      <color indexed="12"/>
      <name val="Arial"/>
      <family val="2"/>
    </font>
    <font>
      <sz val="10"/>
      <color rgb="FF7030A0"/>
      <name val="Arial"/>
      <family val="2"/>
    </font>
    <font>
      <sz val="10"/>
      <color rgb="FFFF0000"/>
      <name val="Arial"/>
      <family val="2"/>
    </font>
    <font>
      <i/>
      <sz val="10"/>
      <name val="Arial"/>
      <family val="2"/>
    </font>
    <font>
      <sz val="10"/>
      <color rgb="FF00B050"/>
      <name val="Arial"/>
      <family val="2"/>
    </font>
    <font>
      <b/>
      <sz val="9"/>
      <color theme="5" tint="-0.249977111117893"/>
      <name val="Arial"/>
      <family val="2"/>
    </font>
    <font>
      <b/>
      <sz val="9"/>
      <color rgb="FFAA1695"/>
      <name val="Arial"/>
      <family val="2"/>
    </font>
    <font>
      <sz val="9"/>
      <color rgb="FF3E3E3E"/>
      <name val="Arial"/>
      <family val="2"/>
    </font>
    <font>
      <i/>
      <sz val="9"/>
      <color rgb="FF3E3E3E"/>
      <name val="Arial"/>
      <family val="2"/>
    </font>
    <font>
      <sz val="9"/>
      <color rgb="FF3E3E3E"/>
      <name val="Times New Roman"/>
      <family val="1"/>
    </font>
    <font>
      <i/>
      <sz val="8"/>
      <color rgb="FF3E3E3E"/>
      <name val="Times New Roman"/>
      <family val="1"/>
    </font>
    <font>
      <sz val="8"/>
      <color rgb="FF3E3E3E"/>
      <name val="Times New Roman"/>
      <family val="1"/>
    </font>
    <font>
      <b/>
      <sz val="10"/>
      <color theme="5" tint="-0.249977111117893"/>
      <name val="Arial"/>
      <family val="2"/>
    </font>
    <font>
      <sz val="12"/>
      <color theme="1"/>
      <name val="Arial"/>
      <family val="2"/>
    </font>
    <font>
      <sz val="11"/>
      <name val="Arial"/>
      <family val="2"/>
    </font>
    <font>
      <b/>
      <sz val="8"/>
      <color indexed="81"/>
      <name val="Tahoma"/>
      <family val="2"/>
    </font>
    <font>
      <sz val="8"/>
      <color indexed="81"/>
      <name val="Tahoma"/>
      <family val="2"/>
    </font>
  </fonts>
  <fills count="11">
    <fill>
      <patternFill patternType="none"/>
    </fill>
    <fill>
      <patternFill patternType="gray125"/>
    </fill>
    <fill>
      <patternFill patternType="solid">
        <fgColor theme="0" tint="-4.9989318521683403E-2"/>
        <bgColor indexed="64"/>
      </patternFill>
    </fill>
    <fill>
      <patternFill patternType="solid">
        <fgColor indexed="42"/>
        <bgColor indexed="64"/>
      </patternFill>
    </fill>
    <fill>
      <patternFill patternType="solid">
        <fgColor rgb="FFFFFF00"/>
        <bgColor indexed="64"/>
      </patternFill>
    </fill>
    <fill>
      <patternFill patternType="solid">
        <fgColor indexed="41"/>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style="double">
        <color indexed="64"/>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304">
    <xf numFmtId="0" fontId="0" fillId="0" borderId="0" xfId="0"/>
    <xf numFmtId="0" fontId="2" fillId="0" borderId="1" xfId="2" applyFont="1" applyBorder="1" applyAlignment="1">
      <alignment horizontal="center" shrinkToFit="1"/>
    </xf>
    <xf numFmtId="0" fontId="2" fillId="0" borderId="2" xfId="2" applyFont="1" applyBorder="1" applyAlignment="1">
      <alignment horizontal="center" shrinkToFit="1"/>
    </xf>
    <xf numFmtId="0" fontId="3" fillId="0" borderId="2" xfId="2" applyFont="1" applyBorder="1" applyAlignment="1">
      <alignment horizontal="center"/>
    </xf>
    <xf numFmtId="0" fontId="3" fillId="0" borderId="3" xfId="2" applyFont="1" applyBorder="1" applyAlignment="1">
      <alignment horizontal="center"/>
    </xf>
    <xf numFmtId="0" fontId="4" fillId="0" borderId="4" xfId="0" applyFont="1" applyBorder="1"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5" xfId="0" applyFont="1" applyBorder="1" applyAlignment="1">
      <alignment horizontal="center"/>
    </xf>
    <xf numFmtId="0" fontId="3" fillId="0" borderId="0" xfId="0" applyFont="1"/>
    <xf numFmtId="0" fontId="7" fillId="0" borderId="6" xfId="2" applyFont="1" applyBorder="1" applyAlignment="1">
      <alignment horizontal="center" shrinkToFit="1"/>
    </xf>
    <xf numFmtId="0" fontId="7" fillId="0" borderId="7" xfId="2" applyFont="1" applyBorder="1" applyAlignment="1">
      <alignment horizontal="center" shrinkToFit="1"/>
    </xf>
    <xf numFmtId="0" fontId="8" fillId="0" borderId="7" xfId="2" applyFont="1" applyBorder="1" applyAlignment="1">
      <alignment horizontal="center"/>
    </xf>
    <xf numFmtId="0" fontId="9" fillId="0" borderId="7" xfId="2" applyFont="1" applyBorder="1" applyAlignment="1">
      <alignment horizontal="center"/>
    </xf>
    <xf numFmtId="0" fontId="10" fillId="0" borderId="7" xfId="0" applyFont="1" applyBorder="1" applyAlignment="1">
      <alignment horizontal="center"/>
    </xf>
    <xf numFmtId="15" fontId="11" fillId="0" borderId="7" xfId="2" applyNumberFormat="1" applyFont="1" applyBorder="1" applyAlignment="1">
      <alignment horizontal="center"/>
    </xf>
    <xf numFmtId="1" fontId="12" fillId="2" borderId="8" xfId="0" applyNumberFormat="1" applyFont="1" applyFill="1" applyBorder="1" applyAlignment="1">
      <alignment horizontal="center" shrinkToFit="1"/>
    </xf>
    <xf numFmtId="1" fontId="5" fillId="0" borderId="0" xfId="0" applyNumberFormat="1" applyFont="1"/>
    <xf numFmtId="0" fontId="5" fillId="0" borderId="0" xfId="0" applyFont="1"/>
    <xf numFmtId="15" fontId="6" fillId="0" borderId="9" xfId="0" applyNumberFormat="1" applyFont="1" applyBorder="1" applyAlignment="1">
      <alignment horizontal="center"/>
    </xf>
    <xf numFmtId="1" fontId="9" fillId="0" borderId="4" xfId="0" applyNumberFormat="1" applyFont="1" applyBorder="1" applyAlignment="1">
      <alignment shrinkToFit="1"/>
    </xf>
    <xf numFmtId="0" fontId="13" fillId="0" borderId="0" xfId="0" applyFont="1"/>
    <xf numFmtId="0" fontId="5" fillId="0" borderId="10" xfId="0" applyFont="1" applyBorder="1"/>
    <xf numFmtId="0" fontId="14" fillId="0" borderId="0" xfId="0" applyFont="1" applyAlignment="1">
      <alignment horizontal="center"/>
    </xf>
    <xf numFmtId="0" fontId="14" fillId="0" borderId="11" xfId="0" applyFont="1" applyBorder="1" applyAlignment="1">
      <alignment horizontal="center"/>
    </xf>
    <xf numFmtId="0" fontId="11" fillId="0" borderId="9" xfId="0" applyFont="1" applyBorder="1" applyAlignment="1">
      <alignment horizontal="center"/>
    </xf>
    <xf numFmtId="0" fontId="9" fillId="0" borderId="4" xfId="0" applyFont="1" applyBorder="1" applyAlignment="1">
      <alignment shrinkToFit="1"/>
    </xf>
    <xf numFmtId="0" fontId="9" fillId="0" borderId="0" xfId="0" applyFont="1"/>
    <xf numFmtId="0" fontId="15" fillId="0" borderId="0" xfId="0" applyFont="1" applyAlignment="1">
      <alignment horizontal="left"/>
    </xf>
    <xf numFmtId="1" fontId="5" fillId="3" borderId="10" xfId="0" applyNumberFormat="1" applyFont="1" applyFill="1" applyBorder="1"/>
    <xf numFmtId="1" fontId="16" fillId="0" borderId="0" xfId="0" applyNumberFormat="1" applyFont="1"/>
    <xf numFmtId="1" fontId="16" fillId="0" borderId="11" xfId="0" applyNumberFormat="1" applyFont="1" applyBorder="1"/>
    <xf numFmtId="15" fontId="11" fillId="0" borderId="9" xfId="0" applyNumberFormat="1" applyFont="1" applyBorder="1" applyAlignment="1">
      <alignment horizontal="center"/>
    </xf>
    <xf numFmtId="0" fontId="5" fillId="0" borderId="0" xfId="0" applyFont="1" applyAlignment="1">
      <alignment horizontal="right"/>
    </xf>
    <xf numFmtId="0" fontId="9" fillId="0" borderId="9" xfId="0" applyFont="1" applyBorder="1"/>
    <xf numFmtId="1" fontId="5" fillId="3" borderId="12" xfId="0" applyNumberFormat="1" applyFont="1" applyFill="1" applyBorder="1"/>
    <xf numFmtId="15" fontId="15" fillId="0" borderId="13" xfId="0" applyNumberFormat="1" applyFont="1" applyBorder="1" applyAlignment="1">
      <alignment horizontal="center"/>
    </xf>
    <xf numFmtId="0" fontId="17" fillId="0" borderId="0" xfId="0" applyFont="1" applyAlignment="1">
      <alignment horizontal="right"/>
    </xf>
    <xf numFmtId="1" fontId="5" fillId="0" borderId="14" xfId="0" applyNumberFormat="1" applyFont="1" applyBorder="1"/>
    <xf numFmtId="0" fontId="11" fillId="0" borderId="0" xfId="0" applyFont="1" applyAlignment="1">
      <alignment vertical="top"/>
    </xf>
    <xf numFmtId="0" fontId="18" fillId="4" borderId="5" xfId="0" applyFont="1" applyFill="1" applyBorder="1" applyAlignment="1">
      <alignment horizontal="center"/>
    </xf>
    <xf numFmtId="0" fontId="19" fillId="0" borderId="0" xfId="0" applyFont="1"/>
    <xf numFmtId="0" fontId="20" fillId="0" borderId="15" xfId="0" applyFont="1" applyBorder="1" applyAlignment="1">
      <alignment horizontal="right" vertical="center"/>
    </xf>
    <xf numFmtId="17" fontId="21" fillId="0" borderId="9" xfId="0" applyNumberFormat="1" applyFont="1" applyBorder="1" applyAlignment="1">
      <alignment horizontal="center"/>
    </xf>
    <xf numFmtId="1" fontId="5" fillId="0" borderId="10" xfId="0" applyNumberFormat="1" applyFont="1" applyBorder="1"/>
    <xf numFmtId="0" fontId="21" fillId="0" borderId="13" xfId="0" applyFont="1" applyBorder="1" applyAlignment="1">
      <alignment horizontal="center"/>
    </xf>
    <xf numFmtId="0" fontId="15" fillId="0" borderId="0" xfId="0" applyFont="1"/>
    <xf numFmtId="0" fontId="8" fillId="0" borderId="0" xfId="0" applyFont="1"/>
    <xf numFmtId="0" fontId="6" fillId="0" borderId="0" xfId="0" applyFont="1" applyAlignment="1">
      <alignment vertical="top"/>
    </xf>
    <xf numFmtId="0" fontId="22" fillId="0" borderId="0" xfId="0" applyFont="1" applyAlignment="1">
      <alignment horizontal="left"/>
    </xf>
    <xf numFmtId="0" fontId="5" fillId="0" borderId="0" xfId="0" applyFont="1" applyAlignment="1">
      <alignment horizontal="left"/>
    </xf>
    <xf numFmtId="0" fontId="5" fillId="5" borderId="0" xfId="0" applyFont="1" applyFill="1" applyAlignment="1">
      <alignment horizontal="right"/>
    </xf>
    <xf numFmtId="1" fontId="16" fillId="0" borderId="16" xfId="0" applyNumberFormat="1" applyFont="1" applyBorder="1"/>
    <xf numFmtId="0" fontId="22" fillId="0" borderId="0" xfId="0" applyFont="1"/>
    <xf numFmtId="0" fontId="5" fillId="5" borderId="12" xfId="0" applyFont="1" applyFill="1" applyBorder="1" applyAlignment="1">
      <alignment horizontal="right"/>
    </xf>
    <xf numFmtId="1" fontId="5" fillId="0" borderId="0" xfId="0" applyNumberFormat="1" applyFont="1" applyAlignment="1">
      <alignment horizontal="right"/>
    </xf>
    <xf numFmtId="0" fontId="15" fillId="0" borderId="0" xfId="0" applyFont="1" applyAlignment="1">
      <alignment vertical="top"/>
    </xf>
    <xf numFmtId="0" fontId="5" fillId="0" borderId="0" xfId="0" applyFont="1" applyAlignment="1">
      <alignment vertical="top"/>
    </xf>
    <xf numFmtId="0" fontId="5" fillId="5" borderId="12" xfId="0" applyFont="1" applyFill="1" applyBorder="1"/>
    <xf numFmtId="15" fontId="6" fillId="0" borderId="0" xfId="2" applyNumberFormat="1" applyFont="1" applyAlignment="1">
      <alignment horizontal="center"/>
    </xf>
    <xf numFmtId="0" fontId="15" fillId="0" borderId="0" xfId="0" applyFont="1" applyAlignment="1">
      <alignment horizontal="left" indent="1"/>
    </xf>
    <xf numFmtId="0" fontId="6" fillId="0" borderId="0" xfId="0" applyFont="1" applyAlignment="1">
      <alignment horizontal="center"/>
    </xf>
    <xf numFmtId="0" fontId="19" fillId="0" borderId="0" xfId="0" applyFont="1" applyAlignment="1">
      <alignment horizontal="left" indent="1"/>
    </xf>
    <xf numFmtId="0" fontId="15" fillId="0" borderId="17" xfId="0" applyFont="1" applyBorder="1"/>
    <xf numFmtId="0" fontId="5" fillId="5" borderId="0" xfId="0" applyFont="1" applyFill="1"/>
    <xf numFmtId="0" fontId="15" fillId="0" borderId="0" xfId="0" applyFont="1" applyAlignment="1">
      <alignment horizontal="right"/>
    </xf>
    <xf numFmtId="0" fontId="5" fillId="5" borderId="17" xfId="0" applyFont="1" applyFill="1" applyBorder="1"/>
    <xf numFmtId="0" fontId="23" fillId="0" borderId="0" xfId="0" applyFont="1" applyAlignment="1">
      <alignment horizontal="center"/>
    </xf>
    <xf numFmtId="1" fontId="5" fillId="5" borderId="0" xfId="0" applyNumberFormat="1" applyFont="1" applyFill="1"/>
    <xf numFmtId="1" fontId="5" fillId="5" borderId="12" xfId="0" applyNumberFormat="1" applyFont="1" applyFill="1" applyBorder="1"/>
    <xf numFmtId="1" fontId="16" fillId="0" borderId="18" xfId="0" applyNumberFormat="1" applyFont="1" applyBorder="1"/>
    <xf numFmtId="1" fontId="20" fillId="0" borderId="19" xfId="0" applyNumberFormat="1" applyFont="1" applyBorder="1"/>
    <xf numFmtId="1" fontId="20" fillId="0" borderId="11" xfId="0" applyNumberFormat="1" applyFont="1" applyBorder="1"/>
    <xf numFmtId="0" fontId="25" fillId="0" borderId="0" xfId="0" applyFont="1"/>
    <xf numFmtId="0" fontId="26" fillId="0" borderId="0" xfId="0" applyFont="1"/>
    <xf numFmtId="0" fontId="27" fillId="0" borderId="0" xfId="0" applyFont="1"/>
    <xf numFmtId="0" fontId="28" fillId="0" borderId="0" xfId="0" applyFont="1" applyAlignment="1">
      <alignment horizontal="center" vertical="top"/>
    </xf>
    <xf numFmtId="0" fontId="16" fillId="0" borderId="0" xfId="0" applyFont="1"/>
    <xf numFmtId="0" fontId="29" fillId="0" borderId="4" xfId="0" applyFont="1" applyBorder="1" applyAlignment="1">
      <alignment horizontal="center"/>
    </xf>
    <xf numFmtId="1" fontId="15" fillId="0" borderId="0" xfId="0" applyNumberFormat="1" applyFont="1" applyAlignment="1">
      <alignment horizontal="center"/>
    </xf>
    <xf numFmtId="0" fontId="29" fillId="0" borderId="0" xfId="0" applyFont="1" applyAlignment="1">
      <alignment horizontal="center" vertical="top"/>
    </xf>
    <xf numFmtId="0" fontId="16" fillId="0" borderId="0" xfId="0" applyFont="1" applyAlignment="1">
      <alignment vertical="center"/>
    </xf>
    <xf numFmtId="1" fontId="23" fillId="0" borderId="0" xfId="0" applyNumberFormat="1" applyFont="1" applyAlignment="1">
      <alignment horizontal="left"/>
    </xf>
    <xf numFmtId="0" fontId="23" fillId="0" borderId="0" xfId="0" applyFont="1" applyAlignment="1">
      <alignment horizontal="left"/>
    </xf>
    <xf numFmtId="0" fontId="9" fillId="0" borderId="0" xfId="0" applyFont="1" applyAlignment="1">
      <alignment horizontal="right"/>
    </xf>
    <xf numFmtId="1" fontId="16" fillId="4" borderId="20" xfId="0" applyNumberFormat="1" applyFont="1" applyFill="1" applyBorder="1"/>
    <xf numFmtId="1" fontId="16" fillId="4" borderId="21" xfId="0" applyNumberFormat="1" applyFont="1" applyFill="1" applyBorder="1"/>
    <xf numFmtId="0" fontId="8" fillId="0" borderId="0" xfId="0" applyFont="1" applyAlignment="1">
      <alignment horizontal="right"/>
    </xf>
    <xf numFmtId="0" fontId="8" fillId="0" borderId="0" xfId="0" applyFont="1" applyAlignment="1">
      <alignment horizontal="center"/>
    </xf>
    <xf numFmtId="0" fontId="15" fillId="0" borderId="16" xfId="0" applyFont="1" applyBorder="1"/>
    <xf numFmtId="0" fontId="15" fillId="0" borderId="11" xfId="0" applyFont="1" applyBorder="1"/>
    <xf numFmtId="0" fontId="9" fillId="0" borderId="0" xfId="0" applyFont="1" applyAlignment="1">
      <alignment shrinkToFit="1"/>
    </xf>
    <xf numFmtId="0" fontId="30" fillId="0" borderId="0" xfId="0" applyFont="1" applyAlignment="1">
      <alignment horizontal="right"/>
    </xf>
    <xf numFmtId="0" fontId="5" fillId="0" borderId="0" xfId="0" applyFont="1" applyAlignment="1">
      <alignment horizontal="left" indent="1"/>
    </xf>
    <xf numFmtId="9" fontId="5" fillId="0" borderId="0" xfId="0" applyNumberFormat="1" applyFont="1" applyAlignment="1">
      <alignment horizontal="center"/>
    </xf>
    <xf numFmtId="0" fontId="29" fillId="0" borderId="0" xfId="0" applyFont="1" applyAlignment="1">
      <alignment horizontal="center"/>
    </xf>
    <xf numFmtId="9" fontId="15" fillId="0" borderId="0" xfId="0" applyNumberFormat="1" applyFont="1" applyAlignment="1">
      <alignment horizontal="center"/>
    </xf>
    <xf numFmtId="0" fontId="5" fillId="0" borderId="16" xfId="0" applyFont="1" applyBorder="1"/>
    <xf numFmtId="0" fontId="5" fillId="0" borderId="11" xfId="0" applyFont="1" applyBorder="1"/>
    <xf numFmtId="1" fontId="16" fillId="0" borderId="16" xfId="0" applyNumberFormat="1" applyFont="1" applyBorder="1" applyAlignment="1">
      <alignment horizontal="right"/>
    </xf>
    <xf numFmtId="1" fontId="16" fillId="0" borderId="11" xfId="0" applyNumberFormat="1" applyFont="1" applyBorder="1" applyAlignment="1">
      <alignment horizontal="right"/>
    </xf>
    <xf numFmtId="0" fontId="5" fillId="0" borderId="12" xfId="0" applyFont="1" applyBorder="1" applyAlignment="1">
      <alignment horizontal="right"/>
    </xf>
    <xf numFmtId="1" fontId="5" fillId="0" borderId="16" xfId="0" applyNumberFormat="1" applyFont="1" applyBorder="1" applyAlignment="1">
      <alignment horizontal="right"/>
    </xf>
    <xf numFmtId="1" fontId="5" fillId="0" borderId="11" xfId="0" applyNumberFormat="1" applyFont="1" applyBorder="1" applyAlignment="1">
      <alignment horizontal="right"/>
    </xf>
    <xf numFmtId="0" fontId="16" fillId="6" borderId="15" xfId="0" applyFont="1" applyFill="1" applyBorder="1"/>
    <xf numFmtId="9" fontId="10" fillId="0" borderId="0" xfId="0" applyNumberFormat="1" applyFont="1" applyAlignment="1">
      <alignment horizontal="center"/>
    </xf>
    <xf numFmtId="1" fontId="5" fillId="0" borderId="22" xfId="0" applyNumberFormat="1" applyFont="1" applyBorder="1" applyAlignment="1">
      <alignment horizontal="right"/>
    </xf>
    <xf numFmtId="1" fontId="5" fillId="0" borderId="18" xfId="0" applyNumberFormat="1" applyFont="1" applyBorder="1" applyAlignment="1">
      <alignment horizontal="right"/>
    </xf>
    <xf numFmtId="0" fontId="5" fillId="7" borderId="0" xfId="0" applyFont="1" applyFill="1" applyAlignment="1">
      <alignment horizontal="left"/>
    </xf>
    <xf numFmtId="0" fontId="15" fillId="7" borderId="0" xfId="0" applyFont="1" applyFill="1" applyAlignment="1">
      <alignment horizontal="center"/>
    </xf>
    <xf numFmtId="0" fontId="23" fillId="0" borderId="0" xfId="0" applyFont="1"/>
    <xf numFmtId="1" fontId="15" fillId="7" borderId="0" xfId="0" applyNumberFormat="1" applyFont="1" applyFill="1" applyAlignment="1">
      <alignment horizontal="left" indent="1"/>
    </xf>
    <xf numFmtId="1" fontId="5" fillId="7" borderId="0" xfId="0" applyNumberFormat="1" applyFont="1" applyFill="1"/>
    <xf numFmtId="1" fontId="15" fillId="7" borderId="0" xfId="0" applyNumberFormat="1" applyFont="1" applyFill="1"/>
    <xf numFmtId="1" fontId="8" fillId="7" borderId="0" xfId="0" applyNumberFormat="1" applyFont="1" applyFill="1"/>
    <xf numFmtId="0" fontId="31" fillId="0" borderId="0" xfId="0" applyFont="1" applyAlignment="1">
      <alignment horizontal="left"/>
    </xf>
    <xf numFmtId="0" fontId="28" fillId="0" borderId="0" xfId="0" applyFont="1" applyAlignment="1">
      <alignment horizontal="right"/>
    </xf>
    <xf numFmtId="1" fontId="32" fillId="0" borderId="16" xfId="0" applyNumberFormat="1" applyFont="1" applyBorder="1" applyAlignment="1">
      <alignment horizontal="right"/>
    </xf>
    <xf numFmtId="1" fontId="1" fillId="0" borderId="22" xfId="0" applyNumberFormat="1" applyFont="1" applyBorder="1"/>
    <xf numFmtId="1" fontId="5" fillId="0" borderId="18" xfId="0" applyNumberFormat="1" applyFont="1" applyBorder="1"/>
    <xf numFmtId="1" fontId="32" fillId="0" borderId="16" xfId="0" applyNumberFormat="1" applyFont="1" applyBorder="1"/>
    <xf numFmtId="1" fontId="15" fillId="0" borderId="0" xfId="0" applyNumberFormat="1" applyFont="1" applyAlignment="1">
      <alignment horizontal="left" indent="1"/>
    </xf>
    <xf numFmtId="1" fontId="29" fillId="0" borderId="0" xfId="0" applyNumberFormat="1" applyFont="1" applyAlignment="1">
      <alignment horizontal="right"/>
    </xf>
    <xf numFmtId="1" fontId="33" fillId="0" borderId="0" xfId="0" applyNumberFormat="1" applyFont="1" applyAlignment="1">
      <alignment horizontal="center"/>
    </xf>
    <xf numFmtId="0" fontId="34" fillId="0" borderId="0" xfId="0" applyFont="1" applyAlignment="1">
      <alignment horizontal="left" shrinkToFit="1"/>
    </xf>
    <xf numFmtId="0" fontId="34" fillId="0" borderId="0" xfId="0" applyFont="1" applyAlignment="1">
      <alignment horizontal="left" shrinkToFit="1"/>
    </xf>
    <xf numFmtId="0" fontId="35" fillId="0" borderId="0" xfId="0" applyFont="1" applyAlignment="1">
      <alignment horizontal="left" shrinkToFit="1"/>
    </xf>
    <xf numFmtId="0" fontId="10" fillId="0" borderId="0" xfId="0" applyFont="1"/>
    <xf numFmtId="0" fontId="5" fillId="0" borderId="17" xfId="0" applyFont="1" applyBorder="1"/>
    <xf numFmtId="1" fontId="9" fillId="0" borderId="23" xfId="0" applyNumberFormat="1" applyFont="1" applyBorder="1" applyAlignment="1">
      <alignment shrinkToFit="1"/>
    </xf>
    <xf numFmtId="0" fontId="16" fillId="0" borderId="24" xfId="0" applyFont="1" applyBorder="1"/>
    <xf numFmtId="0" fontId="5" fillId="0" borderId="24" xfId="0" applyFont="1" applyBorder="1"/>
    <xf numFmtId="0" fontId="36" fillId="0" borderId="24" xfId="0" applyFont="1" applyBorder="1"/>
    <xf numFmtId="0" fontId="23" fillId="0" borderId="24" xfId="0" applyFont="1" applyBorder="1" applyAlignment="1">
      <alignment horizontal="left"/>
    </xf>
    <xf numFmtId="0" fontId="5" fillId="0" borderId="24" xfId="0" applyFont="1" applyBorder="1" applyAlignment="1">
      <alignment horizontal="center"/>
    </xf>
    <xf numFmtId="1" fontId="32" fillId="4" borderId="25" xfId="2" applyNumberFormat="1" applyFont="1" applyFill="1" applyBorder="1"/>
    <xf numFmtId="1" fontId="16" fillId="4" borderId="26" xfId="2" applyNumberFormat="1" applyFont="1" applyFill="1" applyBorder="1"/>
    <xf numFmtId="0" fontId="37" fillId="0" borderId="1" xfId="0" applyFont="1" applyBorder="1" applyAlignment="1">
      <alignment horizontal="center"/>
    </xf>
    <xf numFmtId="0" fontId="37" fillId="0" borderId="2" xfId="0" applyFont="1" applyBorder="1" applyAlignment="1">
      <alignment horizontal="center"/>
    </xf>
    <xf numFmtId="0" fontId="37" fillId="0" borderId="3" xfId="0" applyFont="1" applyBorder="1" applyAlignment="1">
      <alignment horizontal="center"/>
    </xf>
    <xf numFmtId="1" fontId="16" fillId="4" borderId="0" xfId="0" applyNumberFormat="1" applyFont="1" applyFill="1"/>
    <xf numFmtId="14" fontId="38" fillId="0" borderId="6" xfId="0" applyNumberFormat="1" applyFont="1" applyBorder="1" applyAlignment="1">
      <alignment horizontal="center" shrinkToFit="1"/>
    </xf>
    <xf numFmtId="0" fontId="38" fillId="0" borderId="7" xfId="0" applyFont="1" applyBorder="1" applyAlignment="1">
      <alignment horizontal="center" shrinkToFit="1"/>
    </xf>
    <xf numFmtId="0" fontId="39" fillId="0" borderId="7" xfId="0" applyFont="1" applyBorder="1"/>
    <xf numFmtId="0" fontId="40" fillId="0" borderId="7" xfId="0" applyFont="1" applyBorder="1" applyAlignment="1">
      <alignment horizontal="center"/>
    </xf>
    <xf numFmtId="0" fontId="41" fillId="0" borderId="7" xfId="0" applyFont="1" applyBorder="1" applyAlignment="1">
      <alignment horizontal="center"/>
    </xf>
    <xf numFmtId="0" fontId="42" fillId="0" borderId="7" xfId="0" applyFont="1" applyBorder="1" applyAlignment="1">
      <alignment horizontal="center"/>
    </xf>
    <xf numFmtId="0" fontId="42" fillId="0" borderId="8" xfId="0" applyFont="1" applyBorder="1" applyAlignment="1">
      <alignment horizontal="center"/>
    </xf>
    <xf numFmtId="0" fontId="15" fillId="0" borderId="0" xfId="0" applyFont="1" applyAlignment="1">
      <alignment horizontal="left" indent="11"/>
    </xf>
    <xf numFmtId="0" fontId="38" fillId="0" borderId="0" xfId="0" applyFont="1" applyAlignment="1">
      <alignment shrinkToFit="1"/>
    </xf>
    <xf numFmtId="0" fontId="38" fillId="0" borderId="0" xfId="0" applyFont="1"/>
    <xf numFmtId="0" fontId="38" fillId="0" borderId="0" xfId="0" applyFont="1" applyAlignment="1">
      <alignment horizontal="left" indent="1"/>
    </xf>
    <xf numFmtId="0" fontId="28" fillId="0" borderId="0" xfId="0" applyFont="1" applyAlignment="1">
      <alignment shrinkToFit="1"/>
    </xf>
    <xf numFmtId="0" fontId="28" fillId="0" borderId="0" xfId="0" applyFont="1"/>
    <xf numFmtId="0" fontId="28" fillId="0" borderId="0" xfId="0" applyFont="1" applyAlignment="1">
      <alignment horizontal="left" indent="1"/>
    </xf>
    <xf numFmtId="0" fontId="20" fillId="0" borderId="15" xfId="0" applyFont="1" applyBorder="1"/>
    <xf numFmtId="0" fontId="11" fillId="0" borderId="0" xfId="0" applyFont="1"/>
    <xf numFmtId="0" fontId="1" fillId="0" borderId="0" xfId="0" applyFont="1"/>
    <xf numFmtId="0" fontId="43" fillId="0" borderId="0" xfId="0" applyFont="1" applyAlignment="1">
      <alignment horizontal="left"/>
    </xf>
    <xf numFmtId="0" fontId="43" fillId="0" borderId="0" xfId="0" applyFont="1" applyAlignment="1">
      <alignment horizontal="center"/>
    </xf>
    <xf numFmtId="0" fontId="44" fillId="0" borderId="0" xfId="0" applyFont="1"/>
    <xf numFmtId="0" fontId="1" fillId="0" borderId="0" xfId="0" applyFont="1" applyAlignment="1">
      <alignment horizontal="left"/>
    </xf>
    <xf numFmtId="1" fontId="1" fillId="0" borderId="0" xfId="0" applyNumberFormat="1" applyFont="1"/>
    <xf numFmtId="0" fontId="20" fillId="0" borderId="0" xfId="0" applyFont="1"/>
    <xf numFmtId="0" fontId="1" fillId="0" borderId="0" xfId="0" applyFont="1" applyAlignment="1">
      <alignment horizontal="center"/>
    </xf>
    <xf numFmtId="1" fontId="5" fillId="0" borderId="17" xfId="0" applyNumberFormat="1" applyFont="1" applyBorder="1"/>
    <xf numFmtId="0" fontId="5" fillId="0" borderId="15" xfId="0" applyFont="1" applyBorder="1"/>
    <xf numFmtId="0" fontId="9" fillId="0" borderId="15" xfId="0" applyFont="1" applyBorder="1" applyAlignment="1">
      <alignment horizontal="right"/>
    </xf>
    <xf numFmtId="1" fontId="5" fillId="0" borderId="15" xfId="0" applyNumberFormat="1" applyFont="1" applyBorder="1"/>
    <xf numFmtId="14" fontId="22" fillId="0" borderId="0" xfId="0" applyNumberFormat="1" applyFont="1" applyAlignment="1">
      <alignment horizontal="center"/>
    </xf>
    <xf numFmtId="1" fontId="5" fillId="0" borderId="0" xfId="2" applyNumberFormat="1" applyFont="1"/>
    <xf numFmtId="0" fontId="9" fillId="0" borderId="0" xfId="0" applyFont="1" applyAlignment="1">
      <alignment horizontal="left"/>
    </xf>
    <xf numFmtId="0" fontId="9" fillId="0" borderId="15" xfId="0" applyFont="1" applyBorder="1" applyAlignment="1">
      <alignment horizontal="left"/>
    </xf>
    <xf numFmtId="1" fontId="47" fillId="4" borderId="15" xfId="0" applyNumberFormat="1" applyFont="1" applyFill="1" applyBorder="1"/>
    <xf numFmtId="0" fontId="48" fillId="8" borderId="1" xfId="2" applyFont="1" applyFill="1" applyBorder="1" applyAlignment="1">
      <alignment horizontal="center"/>
    </xf>
    <xf numFmtId="0" fontId="48" fillId="8" borderId="2" xfId="2" applyFont="1" applyFill="1" applyBorder="1" applyAlignment="1">
      <alignment horizontal="center"/>
    </xf>
    <xf numFmtId="0" fontId="48" fillId="8" borderId="3" xfId="2" applyFont="1" applyFill="1" applyBorder="1" applyAlignment="1">
      <alignment horizontal="center"/>
    </xf>
    <xf numFmtId="0" fontId="43" fillId="0" borderId="0" xfId="0" applyFont="1"/>
    <xf numFmtId="0" fontId="1" fillId="8" borderId="4" xfId="2" applyFill="1" applyBorder="1" applyAlignment="1">
      <alignment horizontal="left" indent="1"/>
    </xf>
    <xf numFmtId="0" fontId="5" fillId="8" borderId="0" xfId="0" applyFont="1" applyFill="1"/>
    <xf numFmtId="0" fontId="1" fillId="8" borderId="11" xfId="2" applyFill="1" applyBorder="1" applyAlignment="1">
      <alignment horizontal="center"/>
    </xf>
    <xf numFmtId="0" fontId="49" fillId="0" borderId="0" xfId="0" applyFont="1" applyAlignment="1">
      <alignment horizontal="left" indent="1"/>
    </xf>
    <xf numFmtId="9" fontId="1" fillId="8" borderId="11" xfId="1" applyFont="1" applyFill="1" applyBorder="1" applyAlignment="1">
      <alignment horizontal="center"/>
    </xf>
    <xf numFmtId="14" fontId="15" fillId="0" borderId="0" xfId="0" applyNumberFormat="1" applyFont="1" applyAlignment="1">
      <alignment horizontal="center"/>
    </xf>
    <xf numFmtId="0" fontId="17" fillId="0" borderId="0" xfId="0" applyFont="1" applyAlignment="1">
      <alignment horizontal="left" indent="1"/>
    </xf>
    <xf numFmtId="0" fontId="19" fillId="0" borderId="0" xfId="0" applyFont="1" applyAlignment="1">
      <alignment horizontal="center"/>
    </xf>
    <xf numFmtId="0" fontId="22" fillId="0" borderId="0" xfId="0" applyFont="1" applyAlignment="1">
      <alignment horizontal="center"/>
    </xf>
    <xf numFmtId="0" fontId="50" fillId="9" borderId="4" xfId="2" applyFont="1" applyFill="1" applyBorder="1" applyAlignment="1">
      <alignment horizontal="center"/>
    </xf>
    <xf numFmtId="0" fontId="50" fillId="9" borderId="0" xfId="2" applyFont="1" applyFill="1" applyAlignment="1">
      <alignment horizontal="center"/>
    </xf>
    <xf numFmtId="0" fontId="50" fillId="9" borderId="11" xfId="2" applyFont="1" applyFill="1" applyBorder="1" applyAlignment="1">
      <alignment horizontal="center"/>
    </xf>
    <xf numFmtId="0" fontId="19" fillId="0" borderId="0" xfId="0" applyFont="1" applyAlignment="1">
      <alignment horizontal="left"/>
    </xf>
    <xf numFmtId="1" fontId="22" fillId="0" borderId="0" xfId="0" applyNumberFormat="1" applyFont="1" applyAlignment="1">
      <alignment horizontal="left"/>
    </xf>
    <xf numFmtId="0" fontId="1" fillId="9" borderId="4" xfId="2" applyFill="1" applyBorder="1" applyAlignment="1">
      <alignment horizontal="center"/>
    </xf>
    <xf numFmtId="0" fontId="1" fillId="9" borderId="0" xfId="2" applyFill="1" applyAlignment="1">
      <alignment horizontal="center"/>
    </xf>
    <xf numFmtId="0" fontId="1" fillId="9" borderId="11" xfId="2" applyFill="1" applyBorder="1" applyAlignment="1">
      <alignment horizontal="center"/>
    </xf>
    <xf numFmtId="1" fontId="22" fillId="0" borderId="0" xfId="0" applyNumberFormat="1" applyFont="1" applyAlignment="1">
      <alignment horizontal="center"/>
    </xf>
    <xf numFmtId="0" fontId="1" fillId="9" borderId="6" xfId="2" applyFill="1" applyBorder="1" applyAlignment="1">
      <alignment horizontal="center"/>
    </xf>
    <xf numFmtId="0" fontId="1" fillId="9" borderId="7" xfId="2" applyFill="1" applyBorder="1" applyAlignment="1">
      <alignment horizontal="center"/>
    </xf>
    <xf numFmtId="0" fontId="1" fillId="9" borderId="8" xfId="2" applyFill="1" applyBorder="1" applyAlignment="1">
      <alignment horizontal="center"/>
    </xf>
    <xf numFmtId="0" fontId="46" fillId="0" borderId="0" xfId="0" applyFont="1"/>
    <xf numFmtId="0" fontId="51" fillId="10" borderId="0" xfId="2" applyFont="1" applyFill="1"/>
    <xf numFmtId="0" fontId="32" fillId="10" borderId="0" xfId="2" applyFont="1" applyFill="1"/>
    <xf numFmtId="0" fontId="12" fillId="10" borderId="0" xfId="2" applyFont="1" applyFill="1"/>
    <xf numFmtId="1" fontId="16" fillId="10" borderId="0" xfId="2" applyNumberFormat="1" applyFont="1" applyFill="1"/>
    <xf numFmtId="0" fontId="52" fillId="0" borderId="0" xfId="2" applyFont="1"/>
    <xf numFmtId="0" fontId="1" fillId="0" borderId="0" xfId="2"/>
    <xf numFmtId="0" fontId="6" fillId="0" borderId="0" xfId="2" applyFont="1"/>
    <xf numFmtId="2" fontId="53" fillId="0" borderId="0" xfId="2" applyNumberFormat="1" applyFont="1"/>
    <xf numFmtId="0" fontId="22" fillId="0" borderId="0" xfId="2" applyFont="1"/>
    <xf numFmtId="1" fontId="1" fillId="0" borderId="0" xfId="2" applyNumberFormat="1"/>
    <xf numFmtId="10" fontId="54" fillId="0" borderId="0" xfId="0" applyNumberFormat="1" applyFont="1" applyAlignment="1">
      <alignment horizontal="center"/>
    </xf>
    <xf numFmtId="1" fontId="10" fillId="0" borderId="0" xfId="2" applyNumberFormat="1" applyFont="1"/>
    <xf numFmtId="0" fontId="22" fillId="0" borderId="0" xfId="2" applyFont="1" applyAlignment="1">
      <alignment horizontal="center" vertical="center"/>
    </xf>
    <xf numFmtId="0" fontId="1" fillId="0" borderId="0" xfId="2" applyAlignment="1">
      <alignment horizontal="center" vertical="center"/>
    </xf>
    <xf numFmtId="1" fontId="38" fillId="0" borderId="0" xfId="2" applyNumberFormat="1" applyFont="1" applyAlignment="1">
      <alignment horizontal="center" vertical="center" wrapText="1"/>
    </xf>
    <xf numFmtId="1" fontId="1" fillId="0" borderId="0" xfId="2" applyNumberFormat="1" applyAlignment="1">
      <alignment horizontal="center" vertical="center"/>
    </xf>
    <xf numFmtId="0" fontId="9" fillId="0" borderId="0" xfId="0" applyFont="1" applyAlignment="1">
      <alignment horizontal="center" shrinkToFit="1"/>
    </xf>
    <xf numFmtId="164" fontId="1" fillId="0" borderId="0" xfId="2" applyNumberFormat="1" applyAlignment="1">
      <alignment horizontal="center"/>
    </xf>
    <xf numFmtId="1" fontId="1" fillId="8" borderId="0" xfId="2" applyNumberFormat="1" applyFill="1"/>
    <xf numFmtId="1" fontId="1" fillId="0" borderId="0" xfId="2" applyNumberFormat="1" applyAlignment="1">
      <alignment horizontal="center"/>
    </xf>
    <xf numFmtId="2" fontId="55" fillId="0" borderId="0" xfId="2" applyNumberFormat="1" applyFont="1" applyAlignment="1">
      <alignment horizontal="center"/>
    </xf>
    <xf numFmtId="0" fontId="55" fillId="0" borderId="0" xfId="0" applyFont="1" applyAlignment="1">
      <alignment horizontal="center"/>
    </xf>
    <xf numFmtId="0" fontId="55" fillId="0" borderId="0" xfId="0" applyFont="1"/>
    <xf numFmtId="1" fontId="55" fillId="0" borderId="0" xfId="0" applyNumberFormat="1" applyFont="1" applyAlignment="1">
      <alignment horizontal="center"/>
    </xf>
    <xf numFmtId="2" fontId="1" fillId="0" borderId="0" xfId="2" applyNumberFormat="1"/>
    <xf numFmtId="1" fontId="32" fillId="0" borderId="15" xfId="2" applyNumberFormat="1" applyFont="1" applyBorder="1"/>
    <xf numFmtId="1" fontId="32" fillId="4" borderId="15" xfId="2" applyNumberFormat="1" applyFont="1" applyFill="1" applyBorder="1" applyAlignment="1">
      <alignment horizontal="center"/>
    </xf>
    <xf numFmtId="0" fontId="9" fillId="0" borderId="7" xfId="0" applyFont="1" applyBorder="1" applyAlignment="1">
      <alignment shrinkToFit="1"/>
    </xf>
    <xf numFmtId="0" fontId="1" fillId="0" borderId="7" xfId="2" applyBorder="1"/>
    <xf numFmtId="1" fontId="32" fillId="0" borderId="7" xfId="2" applyNumberFormat="1" applyFont="1" applyBorder="1"/>
    <xf numFmtId="2" fontId="32" fillId="0" borderId="0" xfId="2" applyNumberFormat="1" applyFont="1"/>
    <xf numFmtId="0" fontId="1" fillId="0" borderId="0" xfId="2" applyAlignment="1">
      <alignment horizontal="center"/>
    </xf>
    <xf numFmtId="17" fontId="1" fillId="0" borderId="0" xfId="2" applyNumberFormat="1" applyAlignment="1">
      <alignment horizontal="center"/>
    </xf>
    <xf numFmtId="0" fontId="22" fillId="0" borderId="0" xfId="2" applyFont="1" applyAlignment="1">
      <alignment horizontal="left" indent="1"/>
    </xf>
    <xf numFmtId="1" fontId="1" fillId="0" borderId="15" xfId="2" applyNumberFormat="1" applyBorder="1"/>
    <xf numFmtId="9" fontId="6" fillId="0" borderId="0" xfId="2" applyNumberFormat="1" applyFont="1" applyAlignment="1">
      <alignment horizontal="center"/>
    </xf>
    <xf numFmtId="0" fontId="56" fillId="0" borderId="0" xfId="2" applyFont="1" applyAlignment="1">
      <alignment horizontal="left"/>
    </xf>
    <xf numFmtId="1" fontId="5" fillId="0" borderId="0" xfId="0" applyNumberFormat="1" applyFont="1" applyAlignment="1">
      <alignment horizontal="center"/>
    </xf>
    <xf numFmtId="2" fontId="10" fillId="0" borderId="0" xfId="2" applyNumberFormat="1" applyFont="1" applyAlignment="1">
      <alignment horizontal="center"/>
    </xf>
    <xf numFmtId="0" fontId="10" fillId="0" borderId="0" xfId="0" applyFont="1" applyAlignment="1">
      <alignment horizontal="center"/>
    </xf>
    <xf numFmtId="1" fontId="10" fillId="0" borderId="0" xfId="0" applyNumberFormat="1" applyFont="1" applyAlignment="1">
      <alignment horizontal="center"/>
    </xf>
    <xf numFmtId="164" fontId="24" fillId="8" borderId="0" xfId="2" applyNumberFormat="1" applyFont="1" applyFill="1" applyAlignment="1">
      <alignment horizontal="center"/>
    </xf>
    <xf numFmtId="1" fontId="56" fillId="0" borderId="0" xfId="2" applyNumberFormat="1" applyFont="1" applyAlignment="1">
      <alignment horizontal="left"/>
    </xf>
    <xf numFmtId="2" fontId="32" fillId="0" borderId="0" xfId="2" applyNumberFormat="1" applyFont="1" applyAlignment="1">
      <alignment horizontal="center"/>
    </xf>
    <xf numFmtId="1" fontId="56" fillId="0" borderId="0" xfId="2" applyNumberFormat="1" applyFont="1" applyAlignment="1">
      <alignment horizontal="right"/>
    </xf>
    <xf numFmtId="1" fontId="1" fillId="0" borderId="0" xfId="2" applyNumberFormat="1" applyAlignment="1">
      <alignment horizontal="right"/>
    </xf>
    <xf numFmtId="0" fontId="5" fillId="0" borderId="7" xfId="0" applyFont="1" applyBorder="1"/>
    <xf numFmtId="0" fontId="22" fillId="0" borderId="7" xfId="2" applyFont="1" applyBorder="1"/>
    <xf numFmtId="1" fontId="1" fillId="0" borderId="7" xfId="2" applyNumberFormat="1" applyBorder="1" applyAlignment="1">
      <alignment horizontal="right"/>
    </xf>
    <xf numFmtId="1" fontId="1" fillId="0" borderId="7" xfId="2" applyNumberFormat="1" applyBorder="1"/>
    <xf numFmtId="2" fontId="32" fillId="0" borderId="7" xfId="2" applyNumberFormat="1" applyFont="1" applyBorder="1" applyAlignment="1">
      <alignment horizontal="center"/>
    </xf>
    <xf numFmtId="14" fontId="1" fillId="0" borderId="0" xfId="2" applyNumberFormat="1" applyAlignment="1">
      <alignment horizontal="center"/>
    </xf>
    <xf numFmtId="2" fontId="57" fillId="0" borderId="0" xfId="2" applyNumberFormat="1" applyFont="1" applyAlignment="1">
      <alignment horizontal="center"/>
    </xf>
    <xf numFmtId="0" fontId="57" fillId="0" borderId="0" xfId="0" applyFont="1" applyAlignment="1">
      <alignment horizontal="center"/>
    </xf>
    <xf numFmtId="0" fontId="57" fillId="0" borderId="0" xfId="0" applyFont="1"/>
    <xf numFmtId="1" fontId="57" fillId="0" borderId="0" xfId="0" applyNumberFormat="1" applyFont="1" applyAlignment="1">
      <alignment horizontal="center"/>
    </xf>
    <xf numFmtId="17" fontId="1" fillId="0" borderId="0" xfId="2" applyNumberFormat="1"/>
    <xf numFmtId="0" fontId="44" fillId="0" borderId="1" xfId="2" applyFont="1" applyBorder="1"/>
    <xf numFmtId="0" fontId="15" fillId="0" borderId="2" xfId="0" applyFont="1" applyBorder="1"/>
    <xf numFmtId="0" fontId="58" fillId="0" borderId="2" xfId="0" applyFont="1" applyBorder="1" applyAlignment="1">
      <alignment horizontal="center"/>
    </xf>
    <xf numFmtId="0" fontId="58" fillId="0" borderId="3" xfId="0" applyFont="1" applyBorder="1" applyAlignment="1">
      <alignment horizontal="center"/>
    </xf>
    <xf numFmtId="0" fontId="15" fillId="0" borderId="0" xfId="0" applyFont="1" applyAlignment="1">
      <alignment horizontal="center"/>
    </xf>
    <xf numFmtId="0" fontId="59" fillId="0" borderId="0" xfId="0" applyFont="1"/>
    <xf numFmtId="0" fontId="10" fillId="0" borderId="4" xfId="2" applyFont="1" applyBorder="1"/>
    <xf numFmtId="0" fontId="20" fillId="0" borderId="0" xfId="2" applyFont="1"/>
    <xf numFmtId="0" fontId="60" fillId="0" borderId="4" xfId="0" applyFont="1" applyBorder="1" applyAlignment="1">
      <alignment horizontal="center" vertical="center"/>
    </xf>
    <xf numFmtId="0" fontId="62" fillId="0" borderId="0" xfId="0" applyFont="1" applyAlignment="1">
      <alignment horizontal="left" vertical="top" wrapText="1"/>
    </xf>
    <xf numFmtId="0" fontId="62" fillId="0" borderId="11" xfId="0" applyFont="1" applyBorder="1" applyAlignment="1">
      <alignment horizontal="left" vertical="top" wrapText="1"/>
    </xf>
    <xf numFmtId="0" fontId="17" fillId="0" borderId="0" xfId="2" applyFont="1" applyAlignment="1">
      <alignment horizontal="left" vertical="center"/>
    </xf>
    <xf numFmtId="0" fontId="15" fillId="0" borderId="4" xfId="0" applyFont="1" applyBorder="1" applyAlignment="1">
      <alignment shrinkToFit="1"/>
    </xf>
    <xf numFmtId="0" fontId="63" fillId="0" borderId="0" xfId="0" applyFont="1" applyAlignment="1">
      <alignment horizontal="left" vertical="top" wrapText="1"/>
    </xf>
    <xf numFmtId="0" fontId="63" fillId="0" borderId="11" xfId="0" applyFont="1" applyBorder="1" applyAlignment="1">
      <alignment horizontal="left" vertical="top" wrapText="1"/>
    </xf>
    <xf numFmtId="0" fontId="15" fillId="0" borderId="6" xfId="0" applyFont="1" applyBorder="1" applyAlignment="1">
      <alignment shrinkToFit="1"/>
    </xf>
    <xf numFmtId="0" fontId="62" fillId="0" borderId="7" xfId="0" applyFont="1" applyBorder="1" applyAlignment="1">
      <alignment horizontal="left" vertical="top" wrapText="1"/>
    </xf>
    <xf numFmtId="0" fontId="15" fillId="0" borderId="8" xfId="0" applyFont="1" applyBorder="1"/>
    <xf numFmtId="0" fontId="15" fillId="0" borderId="0" xfId="0" applyFont="1" applyAlignment="1">
      <alignment shrinkToFit="1"/>
    </xf>
    <xf numFmtId="0" fontId="62" fillId="0" borderId="0" xfId="0" applyFont="1" applyAlignment="1">
      <alignment horizontal="left" vertical="top" wrapText="1"/>
    </xf>
    <xf numFmtId="0" fontId="62" fillId="0" borderId="2" xfId="0" applyFont="1" applyBorder="1" applyAlignment="1">
      <alignment horizontal="left" vertical="top" wrapText="1"/>
    </xf>
    <xf numFmtId="0" fontId="65" fillId="0" borderId="2" xfId="0" applyFont="1" applyBorder="1" applyAlignment="1">
      <alignment horizontal="center"/>
    </xf>
    <xf numFmtId="0" fontId="65" fillId="0" borderId="3" xfId="0" applyFont="1" applyBorder="1" applyAlignment="1">
      <alignment horizontal="center"/>
    </xf>
    <xf numFmtId="0" fontId="5" fillId="0" borderId="0" xfId="2" applyFont="1"/>
    <xf numFmtId="0" fontId="66" fillId="0" borderId="0" xfId="2" applyFont="1"/>
    <xf numFmtId="0" fontId="5" fillId="0" borderId="0" xfId="2" applyFont="1" applyAlignment="1">
      <alignment horizontal="right"/>
    </xf>
    <xf numFmtId="0" fontId="15" fillId="0" borderId="0" xfId="2" applyFont="1"/>
    <xf numFmtId="0" fontId="9" fillId="0" borderId="0" xfId="2" applyFont="1"/>
    <xf numFmtId="0" fontId="9" fillId="0" borderId="6" xfId="0" applyFont="1" applyBorder="1" applyAlignment="1">
      <alignment shrinkToFit="1"/>
    </xf>
    <xf numFmtId="0" fontId="15" fillId="0" borderId="7" xfId="2" applyFont="1" applyBorder="1"/>
    <xf numFmtId="0" fontId="5" fillId="0" borderId="8" xfId="0" applyFont="1" applyBorder="1"/>
    <xf numFmtId="0" fontId="58" fillId="0" borderId="1" xfId="2" applyFont="1" applyBorder="1"/>
    <xf numFmtId="0" fontId="22" fillId="0" borderId="2" xfId="2" applyFont="1" applyBorder="1" applyAlignment="1">
      <alignment horizontal="center"/>
    </xf>
    <xf numFmtId="0" fontId="1" fillId="0" borderId="2" xfId="2" applyBorder="1" applyAlignment="1">
      <alignment horizontal="center"/>
    </xf>
    <xf numFmtId="0" fontId="29" fillId="0" borderId="2" xfId="2" applyFont="1" applyBorder="1"/>
    <xf numFmtId="0" fontId="5" fillId="0" borderId="2" xfId="0" applyFont="1" applyBorder="1"/>
    <xf numFmtId="0" fontId="5" fillId="0" borderId="3" xfId="0" applyFont="1" applyBorder="1"/>
    <xf numFmtId="0" fontId="5" fillId="0" borderId="4" xfId="2" applyFont="1" applyBorder="1" applyAlignment="1">
      <alignment horizontal="left" indent="1"/>
    </xf>
    <xf numFmtId="0" fontId="5" fillId="0" borderId="0" xfId="2" applyFont="1" applyAlignment="1">
      <alignment horizontal="left" indent="1"/>
    </xf>
    <xf numFmtId="0" fontId="1" fillId="0" borderId="0" xfId="2" applyAlignment="1">
      <alignment horizontal="right"/>
    </xf>
    <xf numFmtId="0" fontId="58" fillId="0" borderId="4" xfId="2" applyFont="1" applyBorder="1"/>
    <xf numFmtId="0" fontId="8" fillId="0" borderId="0" xfId="2" applyFont="1" applyAlignment="1">
      <alignment horizontal="left"/>
    </xf>
    <xf numFmtId="0" fontId="1" fillId="0" borderId="0" xfId="2" applyAlignment="1">
      <alignment horizontal="left" indent="1"/>
    </xf>
    <xf numFmtId="0" fontId="58" fillId="0" borderId="6" xfId="2" applyFont="1" applyBorder="1"/>
    <xf numFmtId="0" fontId="67" fillId="0" borderId="7" xfId="2" applyFont="1" applyBorder="1"/>
    <xf numFmtId="0" fontId="1" fillId="0" borderId="7" xfId="2" applyBorder="1" applyAlignment="1">
      <alignment horizontal="right"/>
    </xf>
    <xf numFmtId="0" fontId="16" fillId="0" borderId="0" xfId="2" applyFont="1"/>
  </cellXfs>
  <cellStyles count="3">
    <cellStyle name="Normal" xfId="0" builtinId="0"/>
    <cellStyle name="Normal 2 2" xfId="2" xr:uid="{95AF6976-AF87-4377-962C-C56C5A71D26C}"/>
    <cellStyle name="Percent" xfId="1" builtinId="5"/>
  </cellStyles>
  <dxfs count="1">
    <dxf>
      <font>
        <condense val="0"/>
        <extend val="0"/>
        <color indexed="12"/>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CB498-0977-4B59-A7EB-4FA42D8F7AB6}">
  <sheetPr>
    <pageSetUpPr fitToPage="1"/>
  </sheetPr>
  <dimension ref="A1:N167"/>
  <sheetViews>
    <sheetView showZeros="0" tabSelected="1" topLeftCell="A51" zoomScale="120" workbookViewId="0">
      <selection activeCell="A55" sqref="A55:I55"/>
    </sheetView>
  </sheetViews>
  <sheetFormatPr defaultColWidth="9.109375" defaultRowHeight="15" customHeight="1" x14ac:dyDescent="0.25"/>
  <cols>
    <col min="1" max="1" width="4" style="91" customWidth="1"/>
    <col min="2" max="2" width="9.6640625" style="18" customWidth="1"/>
    <col min="3" max="3" width="10.6640625" style="18" customWidth="1"/>
    <col min="4" max="4" width="12.6640625" style="18" customWidth="1"/>
    <col min="5" max="5" width="15.88671875" style="18" customWidth="1"/>
    <col min="6" max="6" width="10.44140625" style="18" customWidth="1"/>
    <col min="7" max="7" width="10.6640625" style="18" customWidth="1"/>
    <col min="8" max="8" width="12.6640625" style="18" customWidth="1"/>
    <col min="9" max="9" width="3.44140625" style="18" customWidth="1"/>
    <col min="10" max="10" width="4.109375" style="18" customWidth="1"/>
    <col min="11" max="11" width="28.6640625" style="18" customWidth="1"/>
    <col min="12" max="12" width="10.109375" style="18" customWidth="1"/>
    <col min="13" max="13" width="10.5546875" style="18" customWidth="1"/>
    <col min="14" max="14" width="10" style="18" customWidth="1"/>
    <col min="15" max="16384" width="9.109375" style="18"/>
  </cols>
  <sheetData>
    <row r="1" spans="1:14" s="9" customFormat="1" ht="14.25" customHeight="1" x14ac:dyDescent="0.3">
      <c r="A1" s="1" t="s">
        <v>0</v>
      </c>
      <c r="B1" s="2"/>
      <c r="C1" s="2"/>
      <c r="D1" s="3" t="s">
        <v>1</v>
      </c>
      <c r="E1" s="3"/>
      <c r="F1" s="3"/>
      <c r="G1" s="3"/>
      <c r="H1" s="3"/>
      <c r="I1" s="4"/>
      <c r="J1" s="5" t="s">
        <v>2</v>
      </c>
      <c r="K1" s="6"/>
      <c r="L1" s="6"/>
      <c r="M1" s="7" t="s">
        <v>3</v>
      </c>
      <c r="N1" s="8" t="s">
        <v>4</v>
      </c>
    </row>
    <row r="2" spans="1:14" ht="15" customHeight="1" thickBot="1" x14ac:dyDescent="0.3">
      <c r="A2" s="10" t="s">
        <v>5</v>
      </c>
      <c r="B2" s="11"/>
      <c r="C2" s="11"/>
      <c r="D2" s="12" t="s">
        <v>6</v>
      </c>
      <c r="E2" s="13" t="s">
        <v>7</v>
      </c>
      <c r="F2" s="14" t="s">
        <v>8</v>
      </c>
      <c r="G2" s="14"/>
      <c r="H2" s="15">
        <v>21107</v>
      </c>
      <c r="I2" s="16" t="str">
        <f>IF(H2&lt;21642,"Sr",0)</f>
        <v>Sr</v>
      </c>
      <c r="J2" s="7"/>
      <c r="K2" s="17" t="s">
        <v>9</v>
      </c>
      <c r="L2" s="18">
        <v>4800000</v>
      </c>
      <c r="N2" s="19">
        <v>44389</v>
      </c>
    </row>
    <row r="3" spans="1:14" ht="15" customHeight="1" x14ac:dyDescent="0.25">
      <c r="A3" s="20"/>
      <c r="B3" s="21" t="s">
        <v>10</v>
      </c>
      <c r="G3" s="22"/>
      <c r="H3" s="23" t="s">
        <v>11</v>
      </c>
      <c r="I3" s="24"/>
      <c r="K3" s="18" t="s">
        <v>12</v>
      </c>
      <c r="L3" s="18">
        <v>19200</v>
      </c>
      <c r="N3" s="25" t="s">
        <v>13</v>
      </c>
    </row>
    <row r="4" spans="1:14" ht="15" customHeight="1" x14ac:dyDescent="0.25">
      <c r="A4" s="26"/>
      <c r="B4" s="27" t="s">
        <v>14</v>
      </c>
      <c r="C4" s="28" t="s">
        <v>15</v>
      </c>
      <c r="G4" s="29">
        <f>+L8</f>
        <v>4979200</v>
      </c>
      <c r="H4" s="30"/>
      <c r="I4" s="31"/>
      <c r="K4" s="18" t="s">
        <v>16</v>
      </c>
      <c r="L4" s="18">
        <v>48000</v>
      </c>
      <c r="N4" s="32">
        <v>44561</v>
      </c>
    </row>
    <row r="5" spans="1:14" ht="15" customHeight="1" x14ac:dyDescent="0.25">
      <c r="A5" s="26"/>
      <c r="B5" s="27" t="s">
        <v>17</v>
      </c>
      <c r="C5" s="28" t="s">
        <v>18</v>
      </c>
      <c r="G5" s="29">
        <f>+L9</f>
        <v>390200</v>
      </c>
      <c r="H5" s="30"/>
      <c r="I5" s="31"/>
      <c r="K5" s="18" t="s">
        <v>19</v>
      </c>
      <c r="L5" s="18">
        <v>72000</v>
      </c>
      <c r="M5" s="33" t="s">
        <v>20</v>
      </c>
      <c r="N5" s="34" t="s">
        <v>21</v>
      </c>
    </row>
    <row r="6" spans="1:14" ht="15" customHeight="1" thickBot="1" x14ac:dyDescent="0.3">
      <c r="A6" s="26"/>
      <c r="B6" s="27" t="s">
        <v>22</v>
      </c>
      <c r="C6" s="28" t="s">
        <v>23</v>
      </c>
      <c r="G6" s="35">
        <f>+L10</f>
        <v>15000</v>
      </c>
      <c r="H6" s="30"/>
      <c r="I6" s="31"/>
      <c r="K6" s="18" t="s">
        <v>24</v>
      </c>
      <c r="L6" s="18">
        <v>40000</v>
      </c>
      <c r="M6" s="18">
        <v>40000</v>
      </c>
      <c r="N6" s="36">
        <v>44486</v>
      </c>
    </row>
    <row r="7" spans="1:14" ht="15" customHeight="1" x14ac:dyDescent="0.25">
      <c r="A7" s="26"/>
      <c r="B7" s="21"/>
      <c r="C7" s="28"/>
      <c r="F7" s="37" t="s">
        <v>25</v>
      </c>
      <c r="G7" s="38">
        <f>G4+G5+G6</f>
        <v>5384400</v>
      </c>
      <c r="H7" s="30"/>
      <c r="I7" s="31"/>
      <c r="K7" s="39" t="s">
        <v>26</v>
      </c>
      <c r="N7" s="40" t="s">
        <v>27</v>
      </c>
    </row>
    <row r="8" spans="1:14" ht="15" customHeight="1" thickBot="1" x14ac:dyDescent="0.3">
      <c r="A8" s="26"/>
      <c r="B8" s="41" t="s">
        <v>28</v>
      </c>
      <c r="C8" s="28" t="s">
        <v>29</v>
      </c>
      <c r="G8" s="35">
        <f>M8+M9</f>
        <v>350000</v>
      </c>
      <c r="H8" s="30"/>
      <c r="I8" s="31"/>
      <c r="L8" s="42">
        <f>SUM(L2:L7)</f>
        <v>4979200</v>
      </c>
      <c r="M8" s="42">
        <f>SUM(M2:M7)</f>
        <v>40000</v>
      </c>
      <c r="N8" s="43" t="s">
        <v>30</v>
      </c>
    </row>
    <row r="9" spans="1:14" ht="15" customHeight="1" thickTop="1" thickBot="1" x14ac:dyDescent="0.3">
      <c r="A9" s="26"/>
      <c r="B9" s="21"/>
      <c r="F9" s="37" t="s">
        <v>31</v>
      </c>
      <c r="G9" s="44">
        <f>G7-G8</f>
        <v>5034400</v>
      </c>
      <c r="H9" s="30"/>
      <c r="I9" s="31"/>
      <c r="K9" s="17" t="s">
        <v>32</v>
      </c>
      <c r="L9" s="18">
        <v>390200</v>
      </c>
      <c r="M9" s="18">
        <v>310000</v>
      </c>
      <c r="N9" s="45">
        <v>5000</v>
      </c>
    </row>
    <row r="10" spans="1:14" ht="15" customHeight="1" x14ac:dyDescent="0.25">
      <c r="A10" s="26"/>
      <c r="B10" s="27" t="s">
        <v>33</v>
      </c>
      <c r="C10" s="46" t="s">
        <v>34</v>
      </c>
      <c r="G10" s="35">
        <v>50000</v>
      </c>
      <c r="H10" s="30">
        <f>G9-G10</f>
        <v>4984400</v>
      </c>
      <c r="I10" s="31"/>
      <c r="J10" s="7"/>
      <c r="K10" s="18" t="s">
        <v>35</v>
      </c>
      <c r="L10" s="18">
        <v>15000</v>
      </c>
    </row>
    <row r="11" spans="1:14" ht="21" customHeight="1" x14ac:dyDescent="0.25">
      <c r="A11" s="26"/>
      <c r="B11" s="21" t="s">
        <v>36</v>
      </c>
      <c r="E11" s="47" t="s">
        <v>37</v>
      </c>
      <c r="G11" s="22"/>
      <c r="H11" s="30"/>
      <c r="I11" s="31"/>
      <c r="K11" s="48" t="s">
        <v>38</v>
      </c>
    </row>
    <row r="12" spans="1:14" ht="15" customHeight="1" x14ac:dyDescent="0.25">
      <c r="A12" s="26"/>
      <c r="C12" s="49" t="s">
        <v>39</v>
      </c>
      <c r="D12" s="28"/>
      <c r="E12" s="50"/>
      <c r="F12" s="7"/>
      <c r="G12" s="51" t="s">
        <v>20</v>
      </c>
      <c r="H12" s="52"/>
      <c r="I12" s="31"/>
      <c r="K12" s="18" t="s">
        <v>40</v>
      </c>
      <c r="M12" s="18">
        <v>12000</v>
      </c>
    </row>
    <row r="13" spans="1:14" ht="15" customHeight="1" x14ac:dyDescent="0.25">
      <c r="A13" s="26"/>
      <c r="C13" s="53" t="s">
        <v>41</v>
      </c>
      <c r="D13" s="28"/>
      <c r="E13" s="50"/>
      <c r="F13" s="7"/>
      <c r="G13" s="54" t="s">
        <v>20</v>
      </c>
      <c r="H13" s="52"/>
      <c r="I13" s="31"/>
      <c r="K13" s="18" t="s">
        <v>42</v>
      </c>
      <c r="M13" s="18">
        <v>160000</v>
      </c>
    </row>
    <row r="14" spans="1:14" ht="15" customHeight="1" x14ac:dyDescent="0.25">
      <c r="A14" s="26"/>
      <c r="C14" s="49"/>
      <c r="D14" s="28"/>
      <c r="F14" s="7"/>
      <c r="G14" s="55" t="s">
        <v>20</v>
      </c>
      <c r="H14" s="52"/>
      <c r="I14" s="31"/>
      <c r="K14" s="56"/>
      <c r="L14" s="57"/>
    </row>
    <row r="15" spans="1:14" ht="15" customHeight="1" x14ac:dyDescent="0.25">
      <c r="A15" s="26"/>
      <c r="B15" s="27" t="s">
        <v>43</v>
      </c>
      <c r="C15" s="46" t="s">
        <v>44</v>
      </c>
      <c r="E15" s="46" t="s">
        <v>45</v>
      </c>
      <c r="F15" s="46"/>
      <c r="G15" s="58">
        <f>+M13</f>
        <v>160000</v>
      </c>
      <c r="H15" s="52">
        <f>0-G15</f>
        <v>-160000</v>
      </c>
      <c r="I15" s="31"/>
    </row>
    <row r="16" spans="1:14" ht="15" customHeight="1" x14ac:dyDescent="0.25">
      <c r="A16" s="26"/>
      <c r="B16" s="21" t="s">
        <v>46</v>
      </c>
      <c r="H16" s="52"/>
      <c r="I16" s="31"/>
    </row>
    <row r="17" spans="1:13" ht="15" customHeight="1" x14ac:dyDescent="0.25">
      <c r="A17" s="26"/>
      <c r="C17" s="46" t="s">
        <v>47</v>
      </c>
      <c r="H17" s="52"/>
      <c r="I17" s="31"/>
      <c r="K17" s="18" t="s">
        <v>48</v>
      </c>
      <c r="L17" s="18">
        <v>840000</v>
      </c>
    </row>
    <row r="18" spans="1:13" ht="15" customHeight="1" x14ac:dyDescent="0.25">
      <c r="A18" s="26"/>
      <c r="C18" s="46" t="s">
        <v>49</v>
      </c>
      <c r="H18" s="52"/>
      <c r="I18" s="31"/>
      <c r="K18" s="18" t="s">
        <v>50</v>
      </c>
      <c r="L18" s="18">
        <v>70000</v>
      </c>
    </row>
    <row r="19" spans="1:13" ht="15" customHeight="1" x14ac:dyDescent="0.25">
      <c r="A19" s="26"/>
      <c r="B19" s="59">
        <v>43976</v>
      </c>
      <c r="C19" s="60" t="s">
        <v>51</v>
      </c>
      <c r="F19" s="46">
        <v>840000</v>
      </c>
      <c r="H19" s="52"/>
      <c r="I19" s="31"/>
      <c r="K19" s="18" t="s">
        <v>52</v>
      </c>
      <c r="L19" s="18">
        <v>91000</v>
      </c>
    </row>
    <row r="20" spans="1:13" ht="15" customHeight="1" x14ac:dyDescent="0.25">
      <c r="A20" s="26"/>
      <c r="B20" s="61" t="s">
        <v>53</v>
      </c>
      <c r="C20" s="62" t="s">
        <v>54</v>
      </c>
      <c r="E20" s="46" t="s">
        <v>55</v>
      </c>
      <c r="F20" s="63">
        <f>ROUND(L19*301/100,0)</f>
        <v>273910</v>
      </c>
      <c r="G20" s="64">
        <f>F19-F20</f>
        <v>566090</v>
      </c>
      <c r="H20" s="52"/>
      <c r="I20" s="31"/>
      <c r="K20" s="48" t="s">
        <v>56</v>
      </c>
    </row>
    <row r="21" spans="1:13" ht="15" customHeight="1" x14ac:dyDescent="0.25">
      <c r="A21" s="26"/>
      <c r="F21" s="65" t="s">
        <v>57</v>
      </c>
      <c r="G21" s="66">
        <f>+M21</f>
        <v>64000</v>
      </c>
      <c r="H21" s="52">
        <f>G20-G21</f>
        <v>502090</v>
      </c>
      <c r="I21" s="31"/>
      <c r="K21" s="46" t="s">
        <v>58</v>
      </c>
      <c r="M21" s="18">
        <v>64000</v>
      </c>
    </row>
    <row r="22" spans="1:13" ht="15" customHeight="1" x14ac:dyDescent="0.25">
      <c r="A22" s="26"/>
      <c r="B22" s="21" t="s">
        <v>59</v>
      </c>
      <c r="H22" s="52"/>
      <c r="I22" s="31"/>
    </row>
    <row r="23" spans="1:13" ht="15" customHeight="1" x14ac:dyDescent="0.25">
      <c r="A23" s="26"/>
      <c r="B23" s="67"/>
      <c r="C23" s="49" t="s">
        <v>60</v>
      </c>
      <c r="D23" s="27"/>
      <c r="E23" s="27"/>
      <c r="F23" s="46"/>
      <c r="G23" s="64">
        <f>+L23</f>
        <v>21000</v>
      </c>
      <c r="H23" s="52"/>
      <c r="I23" s="31"/>
      <c r="K23" s="18" t="s">
        <v>60</v>
      </c>
      <c r="L23" s="18">
        <v>21000</v>
      </c>
    </row>
    <row r="24" spans="1:13" ht="15" customHeight="1" x14ac:dyDescent="0.25">
      <c r="A24" s="26"/>
      <c r="B24" s="67"/>
      <c r="C24" s="53" t="s">
        <v>61</v>
      </c>
      <c r="D24" s="27"/>
      <c r="E24" s="27"/>
      <c r="F24" s="46"/>
      <c r="G24" s="68">
        <f>L24+G52</f>
        <v>2000000</v>
      </c>
      <c r="H24" s="52"/>
      <c r="I24" s="31"/>
      <c r="K24" s="18" t="s">
        <v>62</v>
      </c>
      <c r="L24" s="18">
        <v>1800000</v>
      </c>
      <c r="M24" s="61" t="s">
        <v>63</v>
      </c>
    </row>
    <row r="25" spans="1:13" ht="15" customHeight="1" x14ac:dyDescent="0.25">
      <c r="A25" s="26"/>
      <c r="B25" s="67"/>
      <c r="C25" s="18" t="s">
        <v>64</v>
      </c>
      <c r="G25" s="69">
        <v>120000</v>
      </c>
      <c r="H25" s="52">
        <f>G23+G24+G25</f>
        <v>2141000</v>
      </c>
      <c r="I25" s="31"/>
      <c r="K25" s="18" t="s">
        <v>65</v>
      </c>
      <c r="L25" s="18">
        <v>120000</v>
      </c>
    </row>
    <row r="26" spans="1:13" ht="15" customHeight="1" x14ac:dyDescent="0.25">
      <c r="A26" s="26"/>
      <c r="B26" s="67"/>
      <c r="G26" s="17"/>
      <c r="H26" s="52"/>
      <c r="I26" s="70"/>
      <c r="K26" s="33"/>
    </row>
    <row r="27" spans="1:13" ht="15" customHeight="1" x14ac:dyDescent="0.25">
      <c r="A27" s="26"/>
      <c r="B27" s="21" t="s">
        <v>66</v>
      </c>
      <c r="E27" s="7"/>
      <c r="F27" s="7"/>
      <c r="G27" s="30"/>
      <c r="H27" s="71">
        <f>SUM(H4:H26)</f>
        <v>7467490</v>
      </c>
      <c r="I27" s="72"/>
    </row>
    <row r="28" spans="1:13" ht="15" customHeight="1" x14ac:dyDescent="0.25">
      <c r="A28" s="26"/>
      <c r="B28" s="73" t="s">
        <v>67</v>
      </c>
      <c r="H28" s="52"/>
      <c r="I28" s="31"/>
    </row>
    <row r="29" spans="1:13" ht="15" customHeight="1" x14ac:dyDescent="0.25">
      <c r="A29" s="26"/>
      <c r="B29" s="74"/>
      <c r="C29" s="47" t="s">
        <v>68</v>
      </c>
      <c r="D29" s="18" t="str">
        <f>+K29</f>
        <v>Recognised Prov Fund</v>
      </c>
      <c r="F29" s="46">
        <f>+L29</f>
        <v>90000</v>
      </c>
      <c r="H29" s="52"/>
      <c r="I29" s="31"/>
      <c r="K29" s="75" t="s">
        <v>69</v>
      </c>
      <c r="L29" s="75">
        <v>90000</v>
      </c>
    </row>
    <row r="30" spans="1:13" ht="15" customHeight="1" x14ac:dyDescent="0.25">
      <c r="A30" s="26"/>
      <c r="B30" s="74"/>
      <c r="C30" s="76" t="s">
        <v>70</v>
      </c>
      <c r="D30" s="18" t="str">
        <f>+K30</f>
        <v>Public Prov Fund</v>
      </c>
      <c r="F30" s="63">
        <f>+L30</f>
        <v>120000</v>
      </c>
      <c r="G30" s="64">
        <v>150000</v>
      </c>
      <c r="H30" s="52"/>
      <c r="I30" s="31"/>
      <c r="K30" s="75" t="s">
        <v>71</v>
      </c>
      <c r="L30" s="75">
        <v>120000</v>
      </c>
    </row>
    <row r="31" spans="1:13" ht="15" customHeight="1" x14ac:dyDescent="0.25">
      <c r="A31" s="26"/>
      <c r="B31" s="74"/>
      <c r="C31" s="47" t="s">
        <v>72</v>
      </c>
      <c r="F31" s="77"/>
      <c r="G31" s="64">
        <v>10000</v>
      </c>
      <c r="H31" s="52"/>
      <c r="I31" s="31"/>
      <c r="K31" s="75" t="s">
        <v>73</v>
      </c>
      <c r="L31" s="75">
        <v>10000</v>
      </c>
    </row>
    <row r="32" spans="1:13" ht="15" customHeight="1" x14ac:dyDescent="0.25">
      <c r="A32" s="26"/>
      <c r="B32" s="74"/>
      <c r="C32" s="47" t="s">
        <v>74</v>
      </c>
      <c r="D32" s="46" t="s">
        <v>75</v>
      </c>
      <c r="F32" s="77"/>
      <c r="G32" s="51" t="s">
        <v>20</v>
      </c>
      <c r="H32" s="52"/>
      <c r="I32" s="31"/>
      <c r="K32" s="75" t="s">
        <v>76</v>
      </c>
      <c r="L32" s="18">
        <v>20000</v>
      </c>
    </row>
    <row r="33" spans="1:14" ht="15" customHeight="1" x14ac:dyDescent="0.25">
      <c r="A33" s="26"/>
      <c r="B33" s="74"/>
      <c r="C33" s="47" t="s">
        <v>77</v>
      </c>
      <c r="D33" s="18" t="s">
        <v>78</v>
      </c>
      <c r="F33" s="77"/>
      <c r="G33" s="51" t="s">
        <v>20</v>
      </c>
      <c r="H33" s="52"/>
      <c r="I33" s="31"/>
      <c r="K33" s="18" t="s">
        <v>79</v>
      </c>
      <c r="M33" s="75">
        <v>4000</v>
      </c>
    </row>
    <row r="34" spans="1:14" ht="15" customHeight="1" x14ac:dyDescent="0.25">
      <c r="A34" s="26"/>
      <c r="B34" s="74"/>
      <c r="C34" s="47" t="s">
        <v>77</v>
      </c>
      <c r="D34" s="18" t="s">
        <v>80</v>
      </c>
      <c r="F34" s="77"/>
      <c r="G34" s="64">
        <f>+M34</f>
        <v>10000</v>
      </c>
      <c r="H34" s="52"/>
      <c r="I34" s="31"/>
      <c r="K34" s="18" t="s">
        <v>81</v>
      </c>
      <c r="M34" s="18">
        <v>10000</v>
      </c>
    </row>
    <row r="35" spans="1:14" ht="15" customHeight="1" x14ac:dyDescent="0.25">
      <c r="A35" s="26"/>
      <c r="B35" s="74"/>
      <c r="C35" s="47" t="s">
        <v>82</v>
      </c>
      <c r="D35" s="18" t="s">
        <v>83</v>
      </c>
      <c r="F35" s="77"/>
      <c r="G35" s="64">
        <v>64000</v>
      </c>
      <c r="H35" s="52"/>
      <c r="I35" s="31"/>
      <c r="K35" s="18" t="s">
        <v>84</v>
      </c>
      <c r="L35" s="75"/>
      <c r="M35" s="18">
        <v>64000</v>
      </c>
    </row>
    <row r="36" spans="1:14" ht="15" customHeight="1" x14ac:dyDescent="0.25">
      <c r="A36" s="78" t="str">
        <f>+I2</f>
        <v>Sr</v>
      </c>
      <c r="C36" s="47" t="s">
        <v>85</v>
      </c>
      <c r="D36" s="46" t="s">
        <v>86</v>
      </c>
      <c r="E36" s="79">
        <f>G24+G23</f>
        <v>2021000</v>
      </c>
      <c r="F36" s="7"/>
      <c r="G36" s="58">
        <v>50000</v>
      </c>
      <c r="H36" s="52">
        <f>SUM(G29:G36)</f>
        <v>284000</v>
      </c>
      <c r="I36" s="31"/>
      <c r="K36" s="48" t="s">
        <v>87</v>
      </c>
      <c r="M36" s="80" t="s">
        <v>88</v>
      </c>
    </row>
    <row r="37" spans="1:14" ht="15" customHeight="1" thickBot="1" x14ac:dyDescent="0.3">
      <c r="A37" s="26"/>
      <c r="B37" s="81" t="s">
        <v>89</v>
      </c>
      <c r="E37" s="82">
        <f>IF((H27-H36)&lt;0,0,(H27-H36))</f>
        <v>7183490</v>
      </c>
      <c r="F37" s="83" t="s">
        <v>90</v>
      </c>
      <c r="G37" s="84"/>
      <c r="H37" s="85">
        <f>ROUND((E37/10),0)*10</f>
        <v>7183490</v>
      </c>
      <c r="I37" s="86"/>
    </row>
    <row r="38" spans="1:14" ht="15" customHeight="1" thickTop="1" x14ac:dyDescent="0.25">
      <c r="A38" s="26"/>
      <c r="B38" s="77" t="s">
        <v>91</v>
      </c>
      <c r="E38" s="87" t="s">
        <v>92</v>
      </c>
      <c r="F38" s="88" t="s">
        <v>93</v>
      </c>
      <c r="G38" s="87" t="s">
        <v>94</v>
      </c>
      <c r="H38" s="89"/>
      <c r="I38" s="90"/>
      <c r="K38" s="77" t="s">
        <v>95</v>
      </c>
    </row>
    <row r="39" spans="1:14" ht="15" customHeight="1" x14ac:dyDescent="0.25">
      <c r="A39" s="26"/>
      <c r="B39" s="91"/>
      <c r="C39" s="46" t="s">
        <v>96</v>
      </c>
      <c r="E39" s="17">
        <f>H37-E40</f>
        <v>6681400</v>
      </c>
      <c r="F39" s="92"/>
      <c r="G39" s="18">
        <f>IF(+I2="Sr",ROUND(IF(E39&gt;1000000,(((E39-1000000)*0.3)+110000),IF(E39&gt;500000,(((E39-500000)*0.2)+10000),IF(E39&gt;300000,((E39-300000)*0.05),0))),0),ROUND(IF(E39&gt;1000000,(((E39-1000000)*0.3)+112500),IF(E39&gt;500000,(((E39-500000)*0.2)+12500),IF(E39&gt;250000,((E39-250000)*0.05),0))),0))</f>
        <v>1814420</v>
      </c>
      <c r="H39" s="89"/>
      <c r="I39" s="90"/>
      <c r="K39" s="93" t="s">
        <v>97</v>
      </c>
      <c r="L39" s="94">
        <v>0.05</v>
      </c>
      <c r="M39" s="18">
        <f>200000*5%</f>
        <v>10000</v>
      </c>
    </row>
    <row r="40" spans="1:14" ht="15" customHeight="1" x14ac:dyDescent="0.25">
      <c r="A40" s="26"/>
      <c r="B40" s="95" t="s">
        <v>98</v>
      </c>
      <c r="C40" s="46" t="s">
        <v>99</v>
      </c>
      <c r="E40" s="68">
        <f>+H21</f>
        <v>502090</v>
      </c>
      <c r="F40" s="96">
        <v>0.2</v>
      </c>
      <c r="G40" s="58">
        <f>ROUND(E40*F40,0)</f>
        <v>100418</v>
      </c>
      <c r="H40" s="97"/>
      <c r="I40" s="98"/>
      <c r="K40" s="93" t="s">
        <v>100</v>
      </c>
      <c r="L40" s="94">
        <v>0.2</v>
      </c>
      <c r="M40" s="18">
        <f>500000*20%</f>
        <v>100000</v>
      </c>
    </row>
    <row r="41" spans="1:14" ht="15" customHeight="1" x14ac:dyDescent="0.25">
      <c r="A41" s="26"/>
      <c r="D41" s="92"/>
      <c r="E41" s="7"/>
      <c r="G41" s="33">
        <f>G39+G40</f>
        <v>1914838</v>
      </c>
      <c r="H41" s="99"/>
      <c r="I41" s="100"/>
      <c r="K41" s="93" t="s">
        <v>101</v>
      </c>
      <c r="L41" s="94">
        <v>0.3</v>
      </c>
      <c r="M41" s="18">
        <f>ROUND((E39-1000000)*30%,0)</f>
        <v>1704420</v>
      </c>
    </row>
    <row r="42" spans="1:14" ht="15" customHeight="1" thickBot="1" x14ac:dyDescent="0.3">
      <c r="A42" s="26"/>
      <c r="B42" s="46" t="s">
        <v>102</v>
      </c>
      <c r="C42" s="46" t="s">
        <v>103</v>
      </c>
      <c r="D42" s="92"/>
      <c r="E42" s="7"/>
      <c r="G42" s="101">
        <f>IF(H37&gt;350000,0,IF(G41&gt;2500,2500,G41))</f>
        <v>0</v>
      </c>
      <c r="H42" s="102">
        <f>G41-G42</f>
        <v>1914838</v>
      </c>
      <c r="I42" s="103"/>
      <c r="M42" s="104">
        <f>SUM(M39:M41)</f>
        <v>1814420</v>
      </c>
    </row>
    <row r="43" spans="1:14" ht="15" customHeight="1" thickTop="1" x14ac:dyDescent="0.25">
      <c r="A43" s="26"/>
      <c r="B43" s="18" t="s">
        <v>104</v>
      </c>
      <c r="C43" s="46"/>
      <c r="D43" s="92"/>
      <c r="E43" s="7"/>
      <c r="G43" s="105">
        <v>0.1</v>
      </c>
      <c r="H43" s="106">
        <f>IF(H37&gt;10000000,H42*15%,IF(H37&gt;5000000,H42*10%,0))</f>
        <v>191483.80000000002</v>
      </c>
      <c r="I43" s="107"/>
    </row>
    <row r="44" spans="1:14" ht="15" customHeight="1" x14ac:dyDescent="0.25">
      <c r="A44" s="26"/>
      <c r="C44" s="46"/>
      <c r="D44" s="92"/>
      <c r="E44" s="7"/>
      <c r="G44" s="33"/>
      <c r="H44" s="102">
        <f>H42+H43</f>
        <v>2106321.7999999998</v>
      </c>
      <c r="I44" s="103"/>
      <c r="K44" s="108" t="s">
        <v>105</v>
      </c>
      <c r="L44" s="109" t="s">
        <v>106</v>
      </c>
      <c r="M44" s="109" t="s">
        <v>107</v>
      </c>
      <c r="N44" s="109" t="s">
        <v>108</v>
      </c>
    </row>
    <row r="45" spans="1:14" ht="15" customHeight="1" x14ac:dyDescent="0.25">
      <c r="A45" s="26"/>
      <c r="B45" s="46" t="s">
        <v>109</v>
      </c>
      <c r="D45" s="92"/>
      <c r="E45" s="7"/>
      <c r="G45" s="105">
        <v>0.04</v>
      </c>
      <c r="H45" s="106">
        <f>ROUND((H44)*0.04,0)</f>
        <v>84253</v>
      </c>
      <c r="I45" s="107"/>
      <c r="J45" s="110" t="s">
        <v>110</v>
      </c>
      <c r="K45" s="111" t="s">
        <v>111</v>
      </c>
      <c r="L45" s="112">
        <v>50000</v>
      </c>
      <c r="M45" s="113">
        <v>7200000</v>
      </c>
      <c r="N45" s="114">
        <v>4300000</v>
      </c>
    </row>
    <row r="46" spans="1:14" ht="15" customHeight="1" x14ac:dyDescent="0.25">
      <c r="A46" s="26"/>
      <c r="B46" s="77" t="s">
        <v>112</v>
      </c>
      <c r="D46" s="92"/>
      <c r="E46" s="83"/>
      <c r="G46" s="7"/>
      <c r="H46" s="99">
        <f>SUM(H44:H45)</f>
        <v>2190574.7999999998</v>
      </c>
      <c r="I46" s="100"/>
      <c r="J46" s="110" t="s">
        <v>113</v>
      </c>
      <c r="K46" s="111" t="s">
        <v>114</v>
      </c>
      <c r="L46" s="112">
        <v>460000</v>
      </c>
      <c r="M46" s="113"/>
      <c r="N46" s="114">
        <v>4410000</v>
      </c>
    </row>
    <row r="47" spans="1:14" ht="15" customHeight="1" x14ac:dyDescent="0.3">
      <c r="A47" s="26"/>
      <c r="B47" s="46" t="s">
        <v>115</v>
      </c>
      <c r="D47" s="92"/>
      <c r="E47" s="115" t="s">
        <v>116</v>
      </c>
      <c r="G47" s="116"/>
      <c r="H47" s="117">
        <f>+H125</f>
        <v>21465</v>
      </c>
      <c r="I47" s="100"/>
      <c r="J47" s="46"/>
      <c r="K47" s="111" t="s">
        <v>117</v>
      </c>
      <c r="L47" s="114">
        <v>56718</v>
      </c>
      <c r="M47" s="113"/>
    </row>
    <row r="48" spans="1:14" ht="15" customHeight="1" x14ac:dyDescent="0.25">
      <c r="A48" s="78" t="str">
        <f>+A36</f>
        <v>Sr</v>
      </c>
      <c r="B48" s="46" t="s">
        <v>118</v>
      </c>
      <c r="C48" s="7"/>
      <c r="D48" s="7"/>
      <c r="E48" s="7"/>
      <c r="G48" s="116" t="s">
        <v>119</v>
      </c>
      <c r="H48" s="118"/>
      <c r="I48" s="119"/>
      <c r="K48" s="111" t="s">
        <v>120</v>
      </c>
      <c r="L48" s="114">
        <v>1000000</v>
      </c>
      <c r="M48" s="113"/>
    </row>
    <row r="49" spans="1:14" ht="15" customHeight="1" x14ac:dyDescent="0.25">
      <c r="A49" s="26"/>
      <c r="B49" s="77" t="s">
        <v>121</v>
      </c>
      <c r="C49" s="7"/>
      <c r="D49" s="7"/>
      <c r="E49" s="7"/>
      <c r="F49" s="7"/>
      <c r="G49" s="7"/>
      <c r="H49" s="120">
        <f>H46+H47</f>
        <v>2212039.7999999998</v>
      </c>
      <c r="I49" s="31"/>
      <c r="K49" s="121" t="s">
        <v>122</v>
      </c>
      <c r="L49" s="121"/>
      <c r="M49" s="121"/>
      <c r="N49" s="122">
        <f>N45+N46+L47+L48</f>
        <v>9766718</v>
      </c>
    </row>
    <row r="50" spans="1:14" ht="15" customHeight="1" x14ac:dyDescent="0.25">
      <c r="A50" s="26"/>
      <c r="B50" s="21" t="s">
        <v>123</v>
      </c>
      <c r="C50" s="7"/>
      <c r="D50" s="7"/>
      <c r="E50" s="7"/>
      <c r="F50" s="7"/>
      <c r="G50" s="7"/>
      <c r="H50" s="120"/>
      <c r="I50" s="31"/>
    </row>
    <row r="51" spans="1:14" ht="15" customHeight="1" x14ac:dyDescent="0.3">
      <c r="A51" s="26"/>
      <c r="B51" s="123"/>
      <c r="C51" s="124" t="s">
        <v>124</v>
      </c>
      <c r="D51" s="124"/>
      <c r="E51" s="125" t="s">
        <v>125</v>
      </c>
      <c r="F51" s="126"/>
      <c r="G51" s="68">
        <v>1238000</v>
      </c>
      <c r="H51" s="120"/>
      <c r="I51" s="31"/>
      <c r="K51" s="127" t="s">
        <v>126</v>
      </c>
    </row>
    <row r="52" spans="1:14" ht="15" customHeight="1" x14ac:dyDescent="0.3">
      <c r="A52" s="26"/>
      <c r="B52" s="123"/>
      <c r="C52" s="124" t="s">
        <v>127</v>
      </c>
      <c r="D52" s="124"/>
      <c r="E52" s="125" t="s">
        <v>128</v>
      </c>
      <c r="F52" s="126"/>
      <c r="G52" s="68">
        <v>200000</v>
      </c>
      <c r="H52" s="120"/>
      <c r="I52" s="31"/>
      <c r="K52" s="18" t="s">
        <v>129</v>
      </c>
      <c r="L52" s="17">
        <f>+H10</f>
        <v>4984400</v>
      </c>
    </row>
    <row r="53" spans="1:14" ht="15" customHeight="1" x14ac:dyDescent="0.25">
      <c r="A53" s="26"/>
      <c r="B53" s="59">
        <v>44290</v>
      </c>
      <c r="C53" s="18" t="s">
        <v>130</v>
      </c>
      <c r="G53" s="68">
        <v>37000</v>
      </c>
      <c r="H53" s="120">
        <f>SUM(G51:G53)</f>
        <v>1475000</v>
      </c>
      <c r="I53" s="31"/>
      <c r="K53" s="18" t="str">
        <f>+E15</f>
        <v xml:space="preserve">Intt on H  Loan </v>
      </c>
      <c r="L53" s="128">
        <v>-160000</v>
      </c>
      <c r="M53" s="17">
        <f>L52+L53</f>
        <v>4824400</v>
      </c>
    </row>
    <row r="54" spans="1:14" ht="15" customHeight="1" thickBot="1" x14ac:dyDescent="0.3">
      <c r="A54" s="129"/>
      <c r="B54" s="130" t="str">
        <f>IF(H54=0,"TAX  PAYABLE / REFUND ",IF(H54&lt;0,"REFUND","TAX  PAYABLE  including Interest"))</f>
        <v>TAX  PAYABLE  including Interest</v>
      </c>
      <c r="C54" s="131"/>
      <c r="D54" s="132"/>
      <c r="E54" s="132"/>
      <c r="F54" s="133" t="s">
        <v>131</v>
      </c>
      <c r="G54" s="134"/>
      <c r="H54" s="135">
        <f>ROUND((H49-H53)/10,0)*10</f>
        <v>737040</v>
      </c>
      <c r="I54" s="136"/>
      <c r="K54" s="65" t="s">
        <v>132</v>
      </c>
      <c r="M54" s="128">
        <f>(+G30+G31+G35)*-1</f>
        <v>-224000</v>
      </c>
    </row>
    <row r="55" spans="1:14" ht="15" customHeight="1" x14ac:dyDescent="0.25">
      <c r="A55" s="137" t="s">
        <v>133</v>
      </c>
      <c r="B55" s="138"/>
      <c r="C55" s="138"/>
      <c r="D55" s="138"/>
      <c r="E55" s="138"/>
      <c r="F55" s="138"/>
      <c r="G55" s="138"/>
      <c r="H55" s="138"/>
      <c r="I55" s="139"/>
      <c r="M55" s="140">
        <f>M53+M54</f>
        <v>4600400</v>
      </c>
    </row>
    <row r="56" spans="1:14" ht="15" customHeight="1" thickBot="1" x14ac:dyDescent="0.3">
      <c r="A56" s="141">
        <v>44486</v>
      </c>
      <c r="B56" s="142"/>
      <c r="C56" s="143" t="s">
        <v>134</v>
      </c>
      <c r="D56" s="144"/>
      <c r="E56" s="145" t="s">
        <v>135</v>
      </c>
      <c r="F56" s="146" t="s">
        <v>136</v>
      </c>
      <c r="G56" s="146"/>
      <c r="H56" s="146"/>
      <c r="I56" s="147"/>
      <c r="K56" s="148" t="s">
        <v>137</v>
      </c>
      <c r="M56" s="18">
        <f>110000+(M55-1000000)*0.3</f>
        <v>1190120</v>
      </c>
    </row>
    <row r="57" spans="1:14" ht="15" customHeight="1" x14ac:dyDescent="0.25">
      <c r="A57" s="149"/>
      <c r="B57" s="150"/>
      <c r="C57" s="150"/>
      <c r="D57" s="150"/>
      <c r="E57" s="150"/>
      <c r="F57" s="150"/>
      <c r="G57" s="150"/>
      <c r="H57" s="150"/>
      <c r="I57" s="150"/>
      <c r="K57" s="148" t="s">
        <v>138</v>
      </c>
      <c r="L57" s="94">
        <v>0.1</v>
      </c>
    </row>
    <row r="58" spans="1:14" ht="15" customHeight="1" x14ac:dyDescent="0.25">
      <c r="A58" s="149"/>
      <c r="B58" s="18" t="s">
        <v>12</v>
      </c>
      <c r="C58" s="150"/>
      <c r="D58" s="150" t="s">
        <v>139</v>
      </c>
      <c r="E58" s="150" t="s">
        <v>140</v>
      </c>
      <c r="F58" s="46" t="s">
        <v>141</v>
      </c>
      <c r="G58" s="150"/>
      <c r="H58" s="151" t="s">
        <v>142</v>
      </c>
      <c r="I58" s="150"/>
      <c r="K58" s="148" t="s">
        <v>143</v>
      </c>
      <c r="L58" s="94">
        <v>0.04</v>
      </c>
      <c r="M58" s="18">
        <f>ROUND((M57+M56)*0.04,0)</f>
        <v>47605</v>
      </c>
    </row>
    <row r="59" spans="1:14" ht="15" customHeight="1" thickBot="1" x14ac:dyDescent="0.3">
      <c r="A59" s="152"/>
      <c r="B59" s="127" t="s">
        <v>24</v>
      </c>
      <c r="C59" s="153"/>
      <c r="D59" s="153" t="s">
        <v>144</v>
      </c>
      <c r="E59" s="153" t="s">
        <v>145</v>
      </c>
      <c r="F59" s="153" t="s">
        <v>146</v>
      </c>
      <c r="G59" s="153" t="s">
        <v>147</v>
      </c>
      <c r="H59" s="154" t="s">
        <v>148</v>
      </c>
      <c r="I59" s="150"/>
      <c r="M59" s="155">
        <f>SUM(M56:M58)</f>
        <v>1237725</v>
      </c>
    </row>
    <row r="60" spans="1:14" ht="15" customHeight="1" thickTop="1" x14ac:dyDescent="0.25">
      <c r="A60" s="149"/>
      <c r="B60" s="18" t="s">
        <v>16</v>
      </c>
      <c r="C60" s="150"/>
      <c r="D60" s="150" t="s">
        <v>149</v>
      </c>
      <c r="E60" s="150" t="s">
        <v>145</v>
      </c>
      <c r="F60" s="150" t="s">
        <v>146</v>
      </c>
      <c r="G60" s="150" t="s">
        <v>147</v>
      </c>
      <c r="H60" s="151" t="s">
        <v>148</v>
      </c>
      <c r="I60" s="150"/>
      <c r="K60" s="156"/>
      <c r="L60" s="156"/>
      <c r="M60" s="157"/>
    </row>
    <row r="62" spans="1:14" ht="15" customHeight="1" x14ac:dyDescent="0.25">
      <c r="F62" s="158" t="s">
        <v>150</v>
      </c>
      <c r="G62" s="159"/>
      <c r="H62" s="159"/>
      <c r="K62" s="160" t="s">
        <v>151</v>
      </c>
      <c r="M62" s="157"/>
    </row>
    <row r="63" spans="1:14" ht="15" customHeight="1" x14ac:dyDescent="0.25">
      <c r="F63" s="161" t="s">
        <v>152</v>
      </c>
      <c r="G63" s="161"/>
      <c r="H63" s="162">
        <f>+G7-M6</f>
        <v>5344400</v>
      </c>
      <c r="K63" s="18" t="s">
        <v>8</v>
      </c>
      <c r="L63" s="7" t="s">
        <v>153</v>
      </c>
      <c r="M63" s="157"/>
    </row>
    <row r="64" spans="1:14" ht="15" customHeight="1" x14ac:dyDescent="0.25">
      <c r="F64" s="50" t="s">
        <v>154</v>
      </c>
      <c r="G64" s="50"/>
      <c r="H64" s="17">
        <f>+H15</f>
        <v>-160000</v>
      </c>
      <c r="K64" s="163" t="s">
        <v>155</v>
      </c>
      <c r="L64" s="7"/>
    </row>
    <row r="65" spans="5:13" ht="15" customHeight="1" x14ac:dyDescent="0.25">
      <c r="F65" s="50" t="s">
        <v>156</v>
      </c>
      <c r="G65" s="50"/>
      <c r="H65" s="17">
        <f>+H21</f>
        <v>502090</v>
      </c>
      <c r="K65" s="18" t="s">
        <v>157</v>
      </c>
      <c r="L65" s="164"/>
    </row>
    <row r="66" spans="5:13" ht="15" customHeight="1" x14ac:dyDescent="0.25">
      <c r="F66" s="128" t="s">
        <v>158</v>
      </c>
      <c r="G66" s="128"/>
      <c r="H66" s="165">
        <f>+H25</f>
        <v>2141000</v>
      </c>
      <c r="K66" s="18" t="s">
        <v>159</v>
      </c>
      <c r="L66" s="164"/>
    </row>
    <row r="67" spans="5:13" ht="15" customHeight="1" thickBot="1" x14ac:dyDescent="0.3">
      <c r="F67" s="166"/>
      <c r="G67" s="167" t="s">
        <v>160</v>
      </c>
      <c r="H67" s="168">
        <f>SUM(H63:H66)</f>
        <v>7827490</v>
      </c>
      <c r="K67" s="18" t="s">
        <v>161</v>
      </c>
      <c r="L67" s="169">
        <v>44389</v>
      </c>
    </row>
    <row r="68" spans="5:13" ht="15" customHeight="1" thickTop="1" x14ac:dyDescent="0.25">
      <c r="K68" s="163" t="s">
        <v>162</v>
      </c>
      <c r="L68" s="157"/>
    </row>
    <row r="69" spans="5:13" ht="15" customHeight="1" x14ac:dyDescent="0.25">
      <c r="G69" s="28" t="s">
        <v>137</v>
      </c>
      <c r="H69" s="170">
        <f>ROUND(IF(H67&gt;1500000,(H67-1500000)*30%+187500,IF(H67&gt;1250000,(H67-1250000)*25%+125000,IF(H67&gt;1000000,(H67-1000000)*20%+75000,IF(H67&gt;750000,(H67-750000)*15%+37500,IF(H67&gt;500000,(H67-500000)*10%+12500, IF(H67&gt;250000,(H67-250000)*5%,0))))))-(H65*10%),0)</f>
        <v>2035538</v>
      </c>
      <c r="K69" s="93" t="s">
        <v>163</v>
      </c>
      <c r="L69" s="157"/>
    </row>
    <row r="70" spans="5:13" ht="15" customHeight="1" x14ac:dyDescent="0.25">
      <c r="G70" s="171" t="s">
        <v>164</v>
      </c>
      <c r="H70" s="128">
        <f>ROUND(H69*0.1,0)</f>
        <v>203554</v>
      </c>
      <c r="K70" s="93" t="s">
        <v>165</v>
      </c>
    </row>
    <row r="71" spans="5:13" ht="15" customHeight="1" x14ac:dyDescent="0.25">
      <c r="H71" s="17">
        <f>H69+H70</f>
        <v>2239092</v>
      </c>
      <c r="K71" s="163" t="s">
        <v>166</v>
      </c>
    </row>
    <row r="72" spans="5:13" ht="15" customHeight="1" x14ac:dyDescent="0.25">
      <c r="G72" s="28" t="s">
        <v>143</v>
      </c>
      <c r="H72" s="18">
        <f>ROUND(H71*4%,0)</f>
        <v>89564</v>
      </c>
      <c r="K72" s="93" t="s">
        <v>167</v>
      </c>
    </row>
    <row r="73" spans="5:13" ht="15" customHeight="1" thickBot="1" x14ac:dyDescent="0.3">
      <c r="F73" s="166"/>
      <c r="G73" s="172" t="s">
        <v>168</v>
      </c>
      <c r="H73" s="173">
        <f>SUM(H71:H72)</f>
        <v>2328656</v>
      </c>
      <c r="K73" s="93" t="s">
        <v>169</v>
      </c>
    </row>
    <row r="74" spans="5:13" ht="15" customHeight="1" thickTop="1" thickBot="1" x14ac:dyDescent="0.3">
      <c r="K74" s="163" t="s">
        <v>170</v>
      </c>
      <c r="L74" s="65">
        <v>840000</v>
      </c>
      <c r="M74" s="27" t="s">
        <v>171</v>
      </c>
    </row>
    <row r="75" spans="5:13" ht="15" customHeight="1" x14ac:dyDescent="0.25">
      <c r="E75" s="174" t="s">
        <v>150</v>
      </c>
      <c r="F75" s="175"/>
      <c r="G75" s="176"/>
      <c r="H75" s="177"/>
      <c r="K75" s="93" t="s">
        <v>172</v>
      </c>
      <c r="L75" s="18">
        <v>70000</v>
      </c>
    </row>
    <row r="76" spans="5:13" ht="15" customHeight="1" x14ac:dyDescent="0.25">
      <c r="E76" s="178" t="s">
        <v>173</v>
      </c>
      <c r="F76" s="179"/>
      <c r="G76" s="180" t="s">
        <v>20</v>
      </c>
      <c r="H76" s="177"/>
      <c r="K76" s="181" t="s">
        <v>174</v>
      </c>
      <c r="L76" s="18">
        <v>91000</v>
      </c>
    </row>
    <row r="77" spans="5:13" ht="15" customHeight="1" x14ac:dyDescent="0.25">
      <c r="E77" s="178" t="s">
        <v>175</v>
      </c>
      <c r="F77" s="179"/>
      <c r="G77" s="182">
        <v>0.05</v>
      </c>
      <c r="K77" s="181" t="s">
        <v>176</v>
      </c>
      <c r="L77" s="183">
        <v>41821</v>
      </c>
      <c r="M77" s="46"/>
    </row>
    <row r="78" spans="5:13" ht="15" customHeight="1" x14ac:dyDescent="0.25">
      <c r="E78" s="178" t="s">
        <v>177</v>
      </c>
      <c r="F78" s="179"/>
      <c r="G78" s="182">
        <v>0.1</v>
      </c>
      <c r="K78" s="163" t="s">
        <v>158</v>
      </c>
      <c r="L78" s="7"/>
    </row>
    <row r="79" spans="5:13" ht="15" customHeight="1" x14ac:dyDescent="0.25">
      <c r="E79" s="178" t="s">
        <v>178</v>
      </c>
      <c r="F79" s="179"/>
      <c r="G79" s="182">
        <v>0.15</v>
      </c>
      <c r="K79" s="93" t="s">
        <v>179</v>
      </c>
      <c r="L79" s="7">
        <v>21000</v>
      </c>
    </row>
    <row r="80" spans="5:13" ht="15" customHeight="1" x14ac:dyDescent="0.25">
      <c r="E80" s="178" t="s">
        <v>180</v>
      </c>
      <c r="F80" s="179"/>
      <c r="G80" s="182">
        <v>0.2</v>
      </c>
      <c r="K80" s="93" t="s">
        <v>181</v>
      </c>
      <c r="L80" s="7" t="s">
        <v>182</v>
      </c>
    </row>
    <row r="81" spans="2:13" ht="15" customHeight="1" x14ac:dyDescent="0.25">
      <c r="E81" s="178" t="s">
        <v>183</v>
      </c>
      <c r="F81" s="179"/>
      <c r="G81" s="182">
        <v>0.25</v>
      </c>
      <c r="K81" s="184" t="s">
        <v>184</v>
      </c>
      <c r="L81" s="7">
        <v>120000</v>
      </c>
      <c r="M81" s="185" t="s">
        <v>185</v>
      </c>
    </row>
    <row r="82" spans="2:13" ht="15" customHeight="1" x14ac:dyDescent="0.25">
      <c r="E82" s="178" t="s">
        <v>186</v>
      </c>
      <c r="F82" s="179"/>
      <c r="G82" s="182">
        <v>0.3</v>
      </c>
      <c r="K82" s="163" t="s">
        <v>187</v>
      </c>
      <c r="L82" s="7"/>
      <c r="M82" s="185"/>
    </row>
    <row r="83" spans="2:13" ht="15" customHeight="1" x14ac:dyDescent="0.25">
      <c r="B83" s="186" t="s">
        <v>188</v>
      </c>
      <c r="C83" s="49" t="s">
        <v>189</v>
      </c>
      <c r="E83" s="187" t="s">
        <v>190</v>
      </c>
      <c r="F83" s="188"/>
      <c r="G83" s="189"/>
      <c r="K83" s="93" t="s">
        <v>191</v>
      </c>
      <c r="L83" s="7"/>
      <c r="M83" s="190"/>
    </row>
    <row r="84" spans="2:13" ht="15" customHeight="1" x14ac:dyDescent="0.25">
      <c r="B84" s="186" t="s">
        <v>192</v>
      </c>
      <c r="C84" s="191" t="s">
        <v>193</v>
      </c>
      <c r="E84" s="192" t="s">
        <v>194</v>
      </c>
      <c r="F84" s="193"/>
      <c r="G84" s="194"/>
      <c r="K84" s="93" t="s">
        <v>195</v>
      </c>
      <c r="L84" s="18">
        <v>10000</v>
      </c>
    </row>
    <row r="85" spans="2:13" ht="15" customHeight="1" x14ac:dyDescent="0.25">
      <c r="B85" s="195" t="s">
        <v>196</v>
      </c>
      <c r="C85" s="191" t="s">
        <v>197</v>
      </c>
      <c r="E85" s="187" t="s">
        <v>198</v>
      </c>
      <c r="F85" s="188"/>
      <c r="G85" s="189"/>
      <c r="K85" s="93" t="s">
        <v>199</v>
      </c>
    </row>
    <row r="86" spans="2:13" ht="15" customHeight="1" thickBot="1" x14ac:dyDescent="0.3">
      <c r="B86" s="195" t="s">
        <v>200</v>
      </c>
      <c r="C86" s="191" t="s">
        <v>201</v>
      </c>
      <c r="E86" s="196" t="s">
        <v>202</v>
      </c>
      <c r="F86" s="197"/>
      <c r="G86" s="198"/>
      <c r="K86" s="163" t="s">
        <v>203</v>
      </c>
    </row>
    <row r="87" spans="2:13" ht="15" customHeight="1" x14ac:dyDescent="0.25">
      <c r="K87" s="93" t="s">
        <v>204</v>
      </c>
      <c r="L87" s="199" t="s">
        <v>205</v>
      </c>
    </row>
    <row r="88" spans="2:13" ht="15" customHeight="1" x14ac:dyDescent="0.25">
      <c r="K88" s="93" t="s">
        <v>206</v>
      </c>
    </row>
    <row r="89" spans="2:13" ht="15" customHeight="1" x14ac:dyDescent="0.25">
      <c r="K89" s="93" t="s">
        <v>207</v>
      </c>
    </row>
    <row r="90" spans="2:13" ht="15" customHeight="1" x14ac:dyDescent="0.25">
      <c r="K90" s="163" t="s">
        <v>208</v>
      </c>
      <c r="L90" s="7" t="s">
        <v>125</v>
      </c>
      <c r="M90" s="7" t="s">
        <v>209</v>
      </c>
    </row>
    <row r="91" spans="2:13" ht="15" customHeight="1" x14ac:dyDescent="0.25">
      <c r="B91" s="200" t="s">
        <v>210</v>
      </c>
      <c r="C91" s="201"/>
      <c r="D91" s="201"/>
      <c r="E91" s="201"/>
      <c r="F91" s="201"/>
      <c r="G91" s="202" t="s">
        <v>211</v>
      </c>
      <c r="H91" s="203"/>
      <c r="K91" s="93" t="s">
        <v>212</v>
      </c>
    </row>
    <row r="92" spans="2:13" ht="15" customHeight="1" x14ac:dyDescent="0.25">
      <c r="B92" s="204" t="s">
        <v>213</v>
      </c>
      <c r="C92" s="205"/>
      <c r="D92" s="205"/>
      <c r="E92" s="205"/>
      <c r="F92" s="205"/>
      <c r="G92" s="206"/>
      <c r="H92" s="207"/>
      <c r="K92" s="93" t="s">
        <v>214</v>
      </c>
    </row>
    <row r="93" spans="2:13" ht="15" customHeight="1" x14ac:dyDescent="0.25">
      <c r="B93" s="208" t="s">
        <v>215</v>
      </c>
      <c r="C93" s="205"/>
      <c r="D93" s="205"/>
      <c r="E93" s="17">
        <f>ROUND(+H46,0)</f>
        <v>2190575</v>
      </c>
      <c r="G93" s="209"/>
      <c r="K93" s="163" t="s">
        <v>216</v>
      </c>
      <c r="L93" s="210"/>
      <c r="M93" s="210"/>
    </row>
    <row r="94" spans="2:13" ht="15" customHeight="1" x14ac:dyDescent="0.25">
      <c r="B94" s="208" t="s">
        <v>217</v>
      </c>
      <c r="C94" s="205"/>
      <c r="D94" s="205"/>
      <c r="E94" s="17">
        <f>(+G51+G52)*-1</f>
        <v>-1438000</v>
      </c>
      <c r="G94" s="209"/>
      <c r="K94" s="93" t="s">
        <v>218</v>
      </c>
      <c r="M94" s="33"/>
    </row>
    <row r="95" spans="2:13" ht="15" customHeight="1" thickBot="1" x14ac:dyDescent="0.3">
      <c r="B95" s="208" t="s">
        <v>219</v>
      </c>
      <c r="C95" s="205"/>
      <c r="D95" s="205"/>
      <c r="E95" s="166">
        <f>SUM(E93:E94)</f>
        <v>752575</v>
      </c>
      <c r="G95" s="209"/>
      <c r="K95" s="93" t="s">
        <v>220</v>
      </c>
    </row>
    <row r="96" spans="2:13" ht="15" customHeight="1" thickTop="1" x14ac:dyDescent="0.25">
      <c r="C96" s="205"/>
      <c r="D96" s="205"/>
      <c r="E96" s="18">
        <f>+E95</f>
        <v>752575</v>
      </c>
      <c r="G96" s="211">
        <f>IF(G95&gt;10000,G95,0)</f>
        <v>0</v>
      </c>
      <c r="K96" s="93" t="s">
        <v>221</v>
      </c>
    </row>
    <row r="97" spans="1:11" ht="19.8" customHeight="1" x14ac:dyDescent="0.25">
      <c r="B97" s="212" t="s">
        <v>222</v>
      </c>
      <c r="C97" s="213" t="s">
        <v>223</v>
      </c>
      <c r="D97" s="213" t="s">
        <v>224</v>
      </c>
      <c r="E97" s="213" t="s">
        <v>225</v>
      </c>
      <c r="F97" s="214" t="s">
        <v>226</v>
      </c>
      <c r="G97" s="215" t="s">
        <v>227</v>
      </c>
      <c r="H97" s="213" t="s">
        <v>228</v>
      </c>
    </row>
    <row r="98" spans="1:11" ht="15" customHeight="1" x14ac:dyDescent="0.25">
      <c r="A98" s="216">
        <v>1</v>
      </c>
      <c r="B98" s="217"/>
      <c r="C98" s="218"/>
      <c r="D98" s="217">
        <v>43997</v>
      </c>
      <c r="E98" s="209">
        <f>E96*0.15</f>
        <v>112886.25</v>
      </c>
      <c r="F98" s="209">
        <f>ROUNDDOWN(+E98,-2)</f>
        <v>112800</v>
      </c>
      <c r="G98" s="209">
        <f>(F98-C98)</f>
        <v>112800</v>
      </c>
      <c r="H98" s="219">
        <f>IF(G98&gt;0,G98*0.12/12*3,0)</f>
        <v>3384</v>
      </c>
      <c r="I98" s="220" t="s">
        <v>229</v>
      </c>
      <c r="J98" s="220"/>
      <c r="K98" s="221" t="s">
        <v>230</v>
      </c>
    </row>
    <row r="99" spans="1:11" ht="15" customHeight="1" x14ac:dyDescent="0.25">
      <c r="A99" s="216">
        <v>2</v>
      </c>
      <c r="C99" s="218">
        <f>+G64</f>
        <v>0</v>
      </c>
      <c r="D99" s="217">
        <v>44089</v>
      </c>
      <c r="E99" s="209">
        <f>E96*0.45</f>
        <v>338658.75</v>
      </c>
      <c r="F99" s="209">
        <f>ROUNDDOWN(+E99,-2)</f>
        <v>338600</v>
      </c>
      <c r="G99" s="209">
        <f>(F99-C99-C98)</f>
        <v>338600</v>
      </c>
      <c r="H99" s="219">
        <f>IF(G99&gt;0,G99*0.12/12*3,0)</f>
        <v>10158</v>
      </c>
      <c r="J99" s="222" t="s">
        <v>231</v>
      </c>
      <c r="K99" s="223" t="str">
        <f>+H103</f>
        <v>NIL</v>
      </c>
    </row>
    <row r="100" spans="1:11" ht="15" customHeight="1" x14ac:dyDescent="0.25">
      <c r="A100" s="216">
        <v>3</v>
      </c>
      <c r="B100" s="217"/>
      <c r="C100" s="218"/>
      <c r="D100" s="217">
        <v>44180</v>
      </c>
      <c r="E100" s="209">
        <f>E96*0.75</f>
        <v>564431.25</v>
      </c>
      <c r="F100" s="209">
        <f>ROUNDDOWN(+E100,-2)</f>
        <v>564400</v>
      </c>
      <c r="G100" s="209">
        <f>(F100-(C98+C99+C100))</f>
        <v>564400</v>
      </c>
      <c r="H100" s="219">
        <f>IF(G100&gt;0,G100*0.12/12*3,0)</f>
        <v>16932</v>
      </c>
      <c r="J100" s="222" t="s">
        <v>232</v>
      </c>
      <c r="K100" s="223" t="str">
        <f>+K99</f>
        <v>NIL</v>
      </c>
    </row>
    <row r="101" spans="1:11" ht="15" customHeight="1" x14ac:dyDescent="0.25">
      <c r="A101" s="216">
        <v>4</v>
      </c>
      <c r="B101" s="217"/>
      <c r="C101" s="218"/>
      <c r="D101" s="217">
        <v>44270</v>
      </c>
      <c r="E101" s="209">
        <f>E96*1</f>
        <v>752575</v>
      </c>
      <c r="F101" s="209">
        <f>ROUNDDOWN(+E101,-2)</f>
        <v>752500</v>
      </c>
      <c r="G101" s="209">
        <f>(F101-(C98+C99+C100+C101))</f>
        <v>752500</v>
      </c>
      <c r="H101" s="219">
        <f>IF(G101&gt;0,G101*0.12/12,0)</f>
        <v>7525</v>
      </c>
      <c r="J101" s="222" t="s">
        <v>233</v>
      </c>
      <c r="K101" s="223" t="str">
        <f>+K99</f>
        <v>NIL</v>
      </c>
    </row>
    <row r="102" spans="1:11" ht="15" customHeight="1" x14ac:dyDescent="0.25">
      <c r="A102" s="216">
        <v>5</v>
      </c>
      <c r="B102" s="217"/>
      <c r="C102" s="218"/>
      <c r="D102" s="217">
        <v>44286</v>
      </c>
      <c r="F102" s="224"/>
      <c r="G102" s="224"/>
      <c r="H102" s="17"/>
    </row>
    <row r="103" spans="1:11" ht="15" customHeight="1" thickBot="1" x14ac:dyDescent="0.3">
      <c r="B103" s="205"/>
      <c r="C103" s="225">
        <f>SUM(C98:C102)</f>
        <v>0</v>
      </c>
      <c r="D103" s="205"/>
      <c r="E103" s="205"/>
      <c r="F103" s="205"/>
      <c r="G103" s="205"/>
      <c r="H103" s="226" t="s">
        <v>234</v>
      </c>
      <c r="J103" s="7"/>
    </row>
    <row r="104" spans="1:11" ht="15" customHeight="1" thickTop="1" thickBot="1" x14ac:dyDescent="0.3">
      <c r="A104" s="227"/>
      <c r="B104" s="228"/>
      <c r="C104" s="229"/>
      <c r="D104" s="228"/>
      <c r="E104" s="228"/>
      <c r="F104" s="228"/>
      <c r="G104" s="228"/>
      <c r="H104" s="228"/>
      <c r="J104" s="7"/>
    </row>
    <row r="105" spans="1:11" ht="15" customHeight="1" x14ac:dyDescent="0.25">
      <c r="B105" s="204" t="s">
        <v>235</v>
      </c>
      <c r="C105" s="230"/>
      <c r="D105" s="205"/>
      <c r="E105" s="205"/>
      <c r="F105" s="205"/>
      <c r="G105" s="205"/>
      <c r="H105" s="231" t="s">
        <v>228</v>
      </c>
      <c r="J105" s="7"/>
    </row>
    <row r="106" spans="1:11" ht="15" customHeight="1" x14ac:dyDescent="0.25">
      <c r="B106" s="208" t="s">
        <v>215</v>
      </c>
      <c r="C106" s="205"/>
      <c r="D106" s="205"/>
      <c r="E106" s="209">
        <f>+E93</f>
        <v>2190575</v>
      </c>
      <c r="F106" s="205"/>
      <c r="G106" s="232">
        <v>44287</v>
      </c>
      <c r="H106" s="219"/>
      <c r="J106" s="7"/>
    </row>
    <row r="107" spans="1:11" ht="15" customHeight="1" x14ac:dyDescent="0.25">
      <c r="B107" s="233" t="s">
        <v>217</v>
      </c>
      <c r="C107" s="205"/>
      <c r="D107" s="205"/>
      <c r="E107" s="209">
        <f>+E94</f>
        <v>-1438000</v>
      </c>
      <c r="F107" s="205"/>
      <c r="G107" s="232">
        <v>44317</v>
      </c>
      <c r="H107" s="219"/>
      <c r="J107" s="7"/>
    </row>
    <row r="108" spans="1:11" ht="15" customHeight="1" thickBot="1" x14ac:dyDescent="0.3">
      <c r="B108" s="233"/>
      <c r="C108" s="205"/>
      <c r="D108" s="205"/>
      <c r="E108" s="234">
        <f>E106+E107</f>
        <v>752575</v>
      </c>
      <c r="G108" s="232">
        <v>44348</v>
      </c>
      <c r="H108" s="219"/>
      <c r="J108" s="7"/>
    </row>
    <row r="109" spans="1:11" ht="15" customHeight="1" thickTop="1" x14ac:dyDescent="0.25">
      <c r="F109" s="205"/>
      <c r="G109" s="232">
        <v>44378</v>
      </c>
      <c r="H109" s="219"/>
      <c r="J109" s="7"/>
    </row>
    <row r="110" spans="1:11" ht="15" customHeight="1" x14ac:dyDescent="0.25">
      <c r="B110" s="205" t="s">
        <v>236</v>
      </c>
      <c r="C110" s="230"/>
      <c r="D110" s="235">
        <v>0.9</v>
      </c>
      <c r="E110" s="236">
        <f>ROUND(E108*90%,0)</f>
        <v>677318</v>
      </c>
      <c r="F110" s="205"/>
      <c r="G110" s="232">
        <v>44409</v>
      </c>
      <c r="H110" s="219">
        <v>0</v>
      </c>
      <c r="J110" s="7"/>
    </row>
    <row r="111" spans="1:11" ht="15" customHeight="1" x14ac:dyDescent="0.25">
      <c r="B111" s="205" t="s">
        <v>237</v>
      </c>
      <c r="C111" s="230"/>
      <c r="D111" s="205"/>
      <c r="E111" s="209">
        <f>ROUND(+C103,0)</f>
        <v>0</v>
      </c>
      <c r="F111" s="205"/>
      <c r="G111" s="232">
        <v>44440</v>
      </c>
      <c r="H111" s="237">
        <f>+H110</f>
        <v>0</v>
      </c>
      <c r="I111" s="238" t="s">
        <v>229</v>
      </c>
      <c r="J111" s="238"/>
      <c r="K111" s="239" t="s">
        <v>238</v>
      </c>
    </row>
    <row r="112" spans="1:11" ht="15" customHeight="1" x14ac:dyDescent="0.25">
      <c r="B112" s="18" t="s">
        <v>239</v>
      </c>
      <c r="C112" s="230"/>
      <c r="D112" s="205"/>
      <c r="E112" s="209">
        <f>E108-E111</f>
        <v>752575</v>
      </c>
      <c r="F112" s="209">
        <f>ROUNDDOWN(E112,-2)</f>
        <v>752500</v>
      </c>
      <c r="G112" s="232">
        <v>44470</v>
      </c>
      <c r="H112" s="237">
        <f>+H111</f>
        <v>0</v>
      </c>
      <c r="J112" s="127" t="s">
        <v>231</v>
      </c>
      <c r="K112" s="240" t="s">
        <v>234</v>
      </c>
    </row>
    <row r="113" spans="1:11" ht="15" customHeight="1" x14ac:dyDescent="0.25">
      <c r="B113" s="241">
        <f>+B52</f>
        <v>0</v>
      </c>
      <c r="C113" s="205" t="s">
        <v>240</v>
      </c>
      <c r="D113" s="205"/>
      <c r="E113" s="242">
        <f>+G53</f>
        <v>37000</v>
      </c>
      <c r="F113" s="205"/>
      <c r="G113" s="232">
        <v>44501</v>
      </c>
      <c r="J113" s="127" t="s">
        <v>232</v>
      </c>
      <c r="K113" s="240" t="str">
        <f>+K112</f>
        <v>NIL</v>
      </c>
    </row>
    <row r="114" spans="1:11" ht="15" customHeight="1" x14ac:dyDescent="0.25">
      <c r="C114" s="27" t="s">
        <v>241</v>
      </c>
      <c r="E114" s="242"/>
      <c r="F114" s="205"/>
      <c r="G114" s="232">
        <v>44531</v>
      </c>
      <c r="H114" s="243"/>
      <c r="J114" s="127" t="s">
        <v>233</v>
      </c>
      <c r="K114" s="240" t="str">
        <f>+K113</f>
        <v>NIL</v>
      </c>
    </row>
    <row r="115" spans="1:11" ht="15" customHeight="1" thickBot="1" x14ac:dyDescent="0.3">
      <c r="C115" s="208" t="s">
        <v>242</v>
      </c>
      <c r="E115" s="244">
        <v>0</v>
      </c>
      <c r="F115" s="205"/>
      <c r="G115" s="205"/>
      <c r="H115" s="226" t="s">
        <v>234</v>
      </c>
      <c r="J115" s="7"/>
    </row>
    <row r="116" spans="1:11" ht="15" customHeight="1" thickTop="1" x14ac:dyDescent="0.25">
      <c r="B116" s="18" t="s">
        <v>243</v>
      </c>
      <c r="C116" s="208"/>
      <c r="E116" s="245">
        <f>E112-E113</f>
        <v>715575</v>
      </c>
      <c r="F116" s="209">
        <f>ROUNDDOWN(E116,-2)</f>
        <v>715500</v>
      </c>
      <c r="G116" s="205"/>
      <c r="H116" s="243"/>
      <c r="J116" s="7"/>
    </row>
    <row r="117" spans="1:11" ht="15" customHeight="1" thickBot="1" x14ac:dyDescent="0.3">
      <c r="A117" s="227"/>
      <c r="B117" s="246"/>
      <c r="C117" s="247"/>
      <c r="D117" s="246"/>
      <c r="E117" s="248"/>
      <c r="F117" s="249"/>
      <c r="G117" s="228"/>
      <c r="H117" s="250"/>
      <c r="J117" s="7"/>
    </row>
    <row r="118" spans="1:11" ht="15" customHeight="1" x14ac:dyDescent="0.25">
      <c r="B118" s="204" t="s">
        <v>244</v>
      </c>
      <c r="C118" s="251"/>
      <c r="D118" s="251"/>
      <c r="E118" s="251"/>
      <c r="F118" s="251"/>
      <c r="G118" s="251"/>
      <c r="H118" s="251"/>
      <c r="I118" s="251"/>
      <c r="J118" s="243"/>
    </row>
    <row r="119" spans="1:11" ht="15" customHeight="1" x14ac:dyDescent="0.25">
      <c r="B119" s="208" t="s">
        <v>215</v>
      </c>
      <c r="C119" s="205"/>
      <c r="D119" s="205"/>
      <c r="E119" s="209">
        <f>+E106</f>
        <v>2190575</v>
      </c>
      <c r="F119" s="251"/>
      <c r="G119" s="205"/>
      <c r="H119" s="231" t="s">
        <v>228</v>
      </c>
      <c r="I119" s="251"/>
      <c r="J119" s="243"/>
    </row>
    <row r="120" spans="1:11" ht="15" customHeight="1" x14ac:dyDescent="0.25">
      <c r="B120" s="233" t="s">
        <v>217</v>
      </c>
      <c r="C120" s="205"/>
      <c r="D120" s="205"/>
      <c r="E120" s="209">
        <f>+E107</f>
        <v>-1438000</v>
      </c>
      <c r="F120" s="251"/>
      <c r="G120" s="232">
        <v>44409</v>
      </c>
      <c r="H120" s="219">
        <v>7155</v>
      </c>
      <c r="I120" s="251"/>
      <c r="J120" s="243"/>
    </row>
    <row r="121" spans="1:11" ht="15" customHeight="1" x14ac:dyDescent="0.25">
      <c r="B121" s="233" t="s">
        <v>245</v>
      </c>
      <c r="C121" s="205"/>
      <c r="D121" s="205"/>
      <c r="E121" s="245">
        <f>-G53</f>
        <v>-37000</v>
      </c>
      <c r="F121" s="251"/>
      <c r="G121" s="232">
        <v>44440</v>
      </c>
      <c r="H121" s="219">
        <f>+H120</f>
        <v>7155</v>
      </c>
      <c r="I121" s="252" t="s">
        <v>229</v>
      </c>
      <c r="J121" s="252"/>
      <c r="K121" s="253" t="s">
        <v>246</v>
      </c>
    </row>
    <row r="122" spans="1:11" ht="15" customHeight="1" x14ac:dyDescent="0.25">
      <c r="B122" s="233" t="s">
        <v>247</v>
      </c>
      <c r="C122" s="205"/>
      <c r="D122" s="205"/>
      <c r="E122" s="55"/>
      <c r="F122" s="251"/>
      <c r="G122" s="232">
        <v>44470</v>
      </c>
      <c r="H122" s="219">
        <f>+H121</f>
        <v>7155</v>
      </c>
      <c r="I122" s="251"/>
      <c r="J122" s="254" t="s">
        <v>231</v>
      </c>
      <c r="K122" s="255">
        <f>SUM(H120:H122)</f>
        <v>21465</v>
      </c>
    </row>
    <row r="123" spans="1:11" ht="15" customHeight="1" x14ac:dyDescent="0.25">
      <c r="B123" s="233" t="s">
        <v>248</v>
      </c>
      <c r="C123" s="205"/>
      <c r="D123" s="205"/>
      <c r="E123" s="55"/>
      <c r="F123" s="251"/>
      <c r="G123" s="232">
        <v>44501</v>
      </c>
      <c r="H123" s="219"/>
      <c r="I123" s="251"/>
      <c r="J123" s="254" t="s">
        <v>232</v>
      </c>
      <c r="K123" s="255">
        <f>K122+H121</f>
        <v>28620</v>
      </c>
    </row>
    <row r="124" spans="1:11" ht="15" customHeight="1" x14ac:dyDescent="0.25">
      <c r="B124" s="233" t="s">
        <v>249</v>
      </c>
      <c r="C124" s="205"/>
      <c r="D124" s="205"/>
      <c r="E124" s="17"/>
      <c r="F124" s="251"/>
      <c r="G124" s="232">
        <v>44531</v>
      </c>
      <c r="H124" s="219"/>
      <c r="I124" s="251"/>
      <c r="J124" s="254" t="s">
        <v>233</v>
      </c>
      <c r="K124" s="255">
        <f>K123+H122</f>
        <v>35775</v>
      </c>
    </row>
    <row r="125" spans="1:11" ht="15" customHeight="1" thickBot="1" x14ac:dyDescent="0.3">
      <c r="E125" s="234">
        <f>SUM(E119:E124)</f>
        <v>715575</v>
      </c>
      <c r="F125" s="251"/>
      <c r="G125" s="256"/>
      <c r="H125" s="226">
        <f>SUM(H120:H124)</f>
        <v>21465</v>
      </c>
      <c r="I125" s="251"/>
      <c r="J125" s="243"/>
    </row>
    <row r="126" spans="1:11" ht="15" customHeight="1" thickTop="1" x14ac:dyDescent="0.25">
      <c r="C126" s="205"/>
      <c r="D126" s="205"/>
      <c r="E126" s="209">
        <f>ROUNDDOWN(+E125,-2)</f>
        <v>715500</v>
      </c>
      <c r="F126" s="209">
        <f>ROUNDDOWN(E126,-2)</f>
        <v>715500</v>
      </c>
      <c r="G126" s="251"/>
      <c r="H126" s="251"/>
      <c r="I126" s="251"/>
      <c r="J126" s="243"/>
    </row>
    <row r="127" spans="1:11" ht="15" customHeight="1" x14ac:dyDescent="0.25">
      <c r="C127" s="205"/>
      <c r="D127" s="205"/>
      <c r="E127" s="209"/>
      <c r="F127" s="209"/>
      <c r="G127" s="251"/>
      <c r="H127" s="251"/>
      <c r="I127" s="251"/>
      <c r="J127" s="243"/>
    </row>
    <row r="128" spans="1:11" ht="15" customHeight="1" thickBot="1" x14ac:dyDescent="0.3">
      <c r="C128" s="205"/>
      <c r="D128" s="205"/>
      <c r="E128" s="209"/>
      <c r="F128" s="251"/>
      <c r="G128" s="251"/>
      <c r="H128" s="251"/>
      <c r="I128" s="251"/>
      <c r="J128" s="243"/>
    </row>
    <row r="129" spans="1:12" s="46" customFormat="1" ht="15" customHeight="1" x14ac:dyDescent="0.25">
      <c r="A129" s="257" t="s">
        <v>250</v>
      </c>
      <c r="B129" s="258"/>
      <c r="C129" s="258"/>
      <c r="D129" s="258"/>
      <c r="E129" s="258"/>
      <c r="F129" s="258"/>
      <c r="G129" s="259" t="s">
        <v>251</v>
      </c>
      <c r="H129" s="260"/>
      <c r="J129" s="261"/>
      <c r="K129" s="262"/>
      <c r="L129" s="53"/>
    </row>
    <row r="130" spans="1:12" s="46" customFormat="1" ht="15" customHeight="1" x14ac:dyDescent="0.25">
      <c r="A130" s="263" t="s">
        <v>252</v>
      </c>
      <c r="H130" s="90"/>
      <c r="J130" s="261"/>
      <c r="K130" s="264"/>
      <c r="L130" s="53"/>
    </row>
    <row r="131" spans="1:12" s="46" customFormat="1" ht="15" customHeight="1" x14ac:dyDescent="0.25">
      <c r="A131" s="263" t="s">
        <v>253</v>
      </c>
      <c r="H131" s="90"/>
      <c r="J131" s="261"/>
      <c r="K131" s="264"/>
      <c r="L131" s="53"/>
    </row>
    <row r="132" spans="1:12" s="46" customFormat="1" ht="15" customHeight="1" x14ac:dyDescent="0.2">
      <c r="A132" s="265" t="s">
        <v>254</v>
      </c>
      <c r="B132" s="266" t="s">
        <v>255</v>
      </c>
      <c r="C132" s="266"/>
      <c r="D132" s="266"/>
      <c r="E132" s="266"/>
      <c r="F132" s="266"/>
      <c r="G132" s="266"/>
      <c r="H132" s="267"/>
      <c r="I132" s="28"/>
      <c r="J132" s="261"/>
      <c r="K132" s="268" t="s">
        <v>256</v>
      </c>
      <c r="L132" s="53"/>
    </row>
    <row r="133" spans="1:12" s="46" customFormat="1" ht="26.25" customHeight="1" x14ac:dyDescent="0.2">
      <c r="A133" s="265" t="s">
        <v>257</v>
      </c>
      <c r="B133" s="266" t="s">
        <v>258</v>
      </c>
      <c r="C133" s="266"/>
      <c r="D133" s="266"/>
      <c r="E133" s="266"/>
      <c r="F133" s="266"/>
      <c r="G133" s="266"/>
      <c r="H133" s="267"/>
      <c r="I133" s="28"/>
      <c r="J133" s="261"/>
      <c r="K133" s="268" t="s">
        <v>259</v>
      </c>
      <c r="L133" s="53"/>
    </row>
    <row r="134" spans="1:12" s="46" customFormat="1" ht="26.25" customHeight="1" x14ac:dyDescent="0.2">
      <c r="A134" s="265" t="s">
        <v>260</v>
      </c>
      <c r="B134" s="266" t="s">
        <v>261</v>
      </c>
      <c r="C134" s="266"/>
      <c r="D134" s="266"/>
      <c r="E134" s="266"/>
      <c r="F134" s="266"/>
      <c r="G134" s="266"/>
      <c r="H134" s="267"/>
      <c r="I134" s="28"/>
      <c r="J134" s="261"/>
      <c r="K134" s="268" t="s">
        <v>262</v>
      </c>
      <c r="L134" s="53"/>
    </row>
    <row r="135" spans="1:12" s="46" customFormat="1" ht="26.25" customHeight="1" x14ac:dyDescent="0.2">
      <c r="A135" s="265" t="s">
        <v>263</v>
      </c>
      <c r="B135" s="266" t="s">
        <v>264</v>
      </c>
      <c r="C135" s="266"/>
      <c r="D135" s="266"/>
      <c r="E135" s="266"/>
      <c r="F135" s="266"/>
      <c r="G135" s="266"/>
      <c r="H135" s="267"/>
      <c r="I135" s="28"/>
      <c r="J135" s="261"/>
      <c r="K135" s="268" t="s">
        <v>265</v>
      </c>
      <c r="L135" s="53"/>
    </row>
    <row r="136" spans="1:12" s="46" customFormat="1" ht="15" customHeight="1" x14ac:dyDescent="0.2">
      <c r="A136" s="265" t="s">
        <v>266</v>
      </c>
      <c r="B136" s="266" t="s">
        <v>267</v>
      </c>
      <c r="C136" s="266"/>
      <c r="D136" s="266"/>
      <c r="E136" s="266"/>
      <c r="F136" s="266"/>
      <c r="G136" s="266"/>
      <c r="H136" s="267"/>
      <c r="I136" s="28"/>
      <c r="J136" s="261"/>
      <c r="K136" s="268" t="s">
        <v>268</v>
      </c>
      <c r="L136" s="53"/>
    </row>
    <row r="137" spans="1:12" s="46" customFormat="1" ht="15" customHeight="1" x14ac:dyDescent="0.2">
      <c r="A137" s="265" t="s">
        <v>269</v>
      </c>
      <c r="B137" s="266" t="s">
        <v>270</v>
      </c>
      <c r="C137" s="266"/>
      <c r="D137" s="266"/>
      <c r="E137" s="266"/>
      <c r="F137" s="266"/>
      <c r="G137" s="266"/>
      <c r="H137" s="267"/>
      <c r="I137" s="28"/>
      <c r="J137" s="261"/>
      <c r="K137" s="268" t="s">
        <v>271</v>
      </c>
      <c r="L137" s="53"/>
    </row>
    <row r="138" spans="1:12" s="46" customFormat="1" ht="25.5" customHeight="1" x14ac:dyDescent="0.2">
      <c r="A138" s="269"/>
      <c r="B138" s="270" t="s">
        <v>272</v>
      </c>
      <c r="C138" s="270"/>
      <c r="D138" s="270"/>
      <c r="E138" s="270"/>
      <c r="F138" s="270"/>
      <c r="G138" s="270"/>
      <c r="H138" s="271"/>
      <c r="J138" s="261"/>
    </row>
    <row r="139" spans="1:12" s="46" customFormat="1" ht="15" customHeight="1" thickBot="1" x14ac:dyDescent="0.25">
      <c r="A139" s="272"/>
      <c r="B139" s="273" t="s">
        <v>273</v>
      </c>
      <c r="C139" s="273"/>
      <c r="D139" s="273"/>
      <c r="E139" s="273"/>
      <c r="F139" s="273"/>
      <c r="G139" s="273"/>
      <c r="H139" s="274"/>
      <c r="J139" s="261"/>
    </row>
    <row r="140" spans="1:12" s="46" customFormat="1" ht="15" customHeight="1" thickBot="1" x14ac:dyDescent="0.25">
      <c r="A140" s="275"/>
      <c r="B140" s="276"/>
      <c r="C140" s="276"/>
      <c r="D140" s="276"/>
      <c r="E140" s="276"/>
      <c r="F140" s="276"/>
      <c r="G140" s="276"/>
      <c r="J140" s="261"/>
    </row>
    <row r="141" spans="1:12" s="46" customFormat="1" ht="15" customHeight="1" x14ac:dyDescent="0.25">
      <c r="A141" s="257" t="s">
        <v>250</v>
      </c>
      <c r="B141" s="277"/>
      <c r="C141" s="277"/>
      <c r="D141" s="277"/>
      <c r="E141" s="277"/>
      <c r="F141" s="277"/>
      <c r="G141" s="278" t="s">
        <v>274</v>
      </c>
      <c r="H141" s="279"/>
      <c r="J141" s="261"/>
    </row>
    <row r="142" spans="1:12" ht="15" customHeight="1" x14ac:dyDescent="0.25">
      <c r="A142" s="263" t="s">
        <v>275</v>
      </c>
      <c r="C142" s="280"/>
      <c r="D142" s="280"/>
      <c r="E142" s="280"/>
      <c r="F142" s="281"/>
      <c r="G142" s="282"/>
      <c r="H142" s="98"/>
      <c r="J142" s="261"/>
    </row>
    <row r="143" spans="1:12" ht="15" customHeight="1" x14ac:dyDescent="0.25">
      <c r="A143" s="263" t="s">
        <v>276</v>
      </c>
      <c r="C143" s="280"/>
      <c r="D143" s="280"/>
      <c r="E143" s="280"/>
      <c r="F143" s="281"/>
      <c r="G143" s="282"/>
      <c r="H143" s="98"/>
      <c r="J143" s="261"/>
    </row>
    <row r="144" spans="1:12" ht="15" customHeight="1" x14ac:dyDescent="0.25">
      <c r="A144" s="26"/>
      <c r="B144" s="283" t="s">
        <v>277</v>
      </c>
      <c r="D144" s="283" t="s">
        <v>278</v>
      </c>
      <c r="F144" s="281"/>
      <c r="G144" s="282"/>
      <c r="H144" s="98"/>
      <c r="J144" s="261"/>
    </row>
    <row r="145" spans="1:10" ht="15" customHeight="1" x14ac:dyDescent="0.25">
      <c r="A145" s="26"/>
      <c r="B145" s="283" t="s">
        <v>279</v>
      </c>
      <c r="D145" s="283" t="s">
        <v>280</v>
      </c>
      <c r="F145" s="281"/>
      <c r="G145" s="282"/>
      <c r="H145" s="98"/>
      <c r="J145" s="261"/>
    </row>
    <row r="146" spans="1:10" ht="15" customHeight="1" x14ac:dyDescent="0.25">
      <c r="A146" s="26"/>
      <c r="B146" s="283" t="s">
        <v>281</v>
      </c>
      <c r="D146" s="283" t="s">
        <v>282</v>
      </c>
      <c r="F146" s="281"/>
      <c r="G146" s="282"/>
      <c r="H146" s="98"/>
      <c r="J146" s="261"/>
    </row>
    <row r="147" spans="1:10" ht="15" customHeight="1" x14ac:dyDescent="0.25">
      <c r="A147" s="26"/>
      <c r="B147" s="284" t="s">
        <v>283</v>
      </c>
      <c r="D147" s="283" t="s">
        <v>284</v>
      </c>
      <c r="F147" s="281"/>
      <c r="G147" s="282"/>
      <c r="H147" s="98"/>
      <c r="J147" s="261"/>
    </row>
    <row r="148" spans="1:10" ht="15" customHeight="1" x14ac:dyDescent="0.25">
      <c r="A148" s="26"/>
      <c r="B148" s="283" t="s">
        <v>285</v>
      </c>
      <c r="D148" s="283" t="s">
        <v>286</v>
      </c>
      <c r="F148" s="281"/>
      <c r="G148" s="282"/>
      <c r="H148" s="98"/>
      <c r="J148" s="261"/>
    </row>
    <row r="149" spans="1:10" ht="15" customHeight="1" x14ac:dyDescent="0.25">
      <c r="A149" s="26"/>
      <c r="B149" s="283" t="s">
        <v>287</v>
      </c>
      <c r="D149" s="283" t="s">
        <v>288</v>
      </c>
      <c r="F149" s="281"/>
      <c r="G149" s="282"/>
      <c r="H149" s="98"/>
      <c r="J149" s="7"/>
    </row>
    <row r="150" spans="1:10" ht="15" customHeight="1" x14ac:dyDescent="0.25">
      <c r="A150" s="26"/>
      <c r="B150" s="284" t="s">
        <v>289</v>
      </c>
      <c r="D150" s="283" t="s">
        <v>290</v>
      </c>
      <c r="F150" s="281"/>
      <c r="G150" s="282"/>
      <c r="H150" s="98"/>
      <c r="J150" s="7"/>
    </row>
    <row r="151" spans="1:10" ht="15" customHeight="1" thickBot="1" x14ac:dyDescent="0.3">
      <c r="A151" s="285"/>
      <c r="B151" s="286" t="s">
        <v>291</v>
      </c>
      <c r="C151" s="246"/>
      <c r="D151" s="286" t="s">
        <v>292</v>
      </c>
      <c r="E151" s="246"/>
      <c r="F151" s="246"/>
      <c r="G151" s="246"/>
      <c r="H151" s="287"/>
      <c r="J151" s="7"/>
    </row>
    <row r="152" spans="1:10" ht="15" customHeight="1" thickBot="1" x14ac:dyDescent="0.3">
      <c r="J152" s="7"/>
    </row>
    <row r="153" spans="1:10" ht="15" customHeight="1" x14ac:dyDescent="0.25">
      <c r="B153" s="288" t="s">
        <v>293</v>
      </c>
      <c r="C153" s="289"/>
      <c r="D153" s="290"/>
      <c r="E153" s="291" t="s">
        <v>294</v>
      </c>
      <c r="F153" s="292"/>
      <c r="G153" s="291" t="s">
        <v>295</v>
      </c>
      <c r="H153" s="293"/>
      <c r="J153" s="7"/>
    </row>
    <row r="154" spans="1:10" ht="15" customHeight="1" x14ac:dyDescent="0.25">
      <c r="B154" s="294" t="s">
        <v>9</v>
      </c>
      <c r="C154" s="205"/>
      <c r="D154" s="231"/>
      <c r="E154" s="295" t="s">
        <v>296</v>
      </c>
      <c r="G154" s="295" t="s">
        <v>297</v>
      </c>
      <c r="H154" s="98"/>
      <c r="J154" s="7"/>
    </row>
    <row r="155" spans="1:10" ht="15" customHeight="1" x14ac:dyDescent="0.25">
      <c r="B155" s="294" t="s">
        <v>298</v>
      </c>
      <c r="C155" s="205"/>
      <c r="D155" s="231"/>
      <c r="E155" s="295" t="s">
        <v>299</v>
      </c>
      <c r="G155" s="295" t="s">
        <v>300</v>
      </c>
      <c r="H155" s="98"/>
      <c r="J155" s="7"/>
    </row>
    <row r="156" spans="1:10" ht="15" customHeight="1" x14ac:dyDescent="0.25">
      <c r="B156" s="294" t="s">
        <v>24</v>
      </c>
      <c r="C156" s="205"/>
      <c r="D156" s="231"/>
      <c r="E156" s="295" t="s">
        <v>301</v>
      </c>
      <c r="H156" s="98"/>
      <c r="J156" s="7"/>
    </row>
    <row r="157" spans="1:10" ht="15" customHeight="1" x14ac:dyDescent="0.25">
      <c r="B157" s="294" t="s">
        <v>19</v>
      </c>
      <c r="C157" s="205"/>
      <c r="D157" s="231"/>
      <c r="E157" s="295" t="s">
        <v>302</v>
      </c>
      <c r="H157" s="98"/>
      <c r="J157" s="7"/>
    </row>
    <row r="158" spans="1:10" ht="15" customHeight="1" x14ac:dyDescent="0.25">
      <c r="B158" s="294" t="s">
        <v>303</v>
      </c>
      <c r="C158" s="205"/>
      <c r="D158" s="231"/>
      <c r="H158" s="98"/>
      <c r="J158" s="7"/>
    </row>
    <row r="159" spans="1:10" ht="15" customHeight="1" x14ac:dyDescent="0.25">
      <c r="B159" s="294" t="s">
        <v>304</v>
      </c>
      <c r="C159" s="205"/>
      <c r="D159" s="231"/>
      <c r="H159" s="98"/>
      <c r="J159" s="7"/>
    </row>
    <row r="160" spans="1:10" ht="15" customHeight="1" x14ac:dyDescent="0.25">
      <c r="B160" s="294" t="s">
        <v>305</v>
      </c>
      <c r="C160" s="205"/>
      <c r="D160" s="296">
        <f>SUM(C154:C160)</f>
        <v>0</v>
      </c>
      <c r="H160" s="98"/>
      <c r="J160" s="7"/>
    </row>
    <row r="161" spans="2:10" ht="15" customHeight="1" x14ac:dyDescent="0.25">
      <c r="B161" s="297" t="s">
        <v>306</v>
      </c>
      <c r="C161" s="205"/>
      <c r="D161" s="280"/>
      <c r="E161" s="298"/>
      <c r="H161" s="98"/>
      <c r="J161" s="7"/>
    </row>
    <row r="162" spans="2:10" ht="15" customHeight="1" x14ac:dyDescent="0.25">
      <c r="B162" s="294" t="s">
        <v>307</v>
      </c>
      <c r="C162" s="299"/>
      <c r="D162" s="280"/>
      <c r="H162" s="98"/>
      <c r="J162" s="7"/>
    </row>
    <row r="163" spans="2:10" ht="15" customHeight="1" x14ac:dyDescent="0.25">
      <c r="B163" s="294" t="s">
        <v>308</v>
      </c>
      <c r="C163" s="299"/>
      <c r="D163" s="280"/>
      <c r="H163" s="98"/>
      <c r="J163" s="7"/>
    </row>
    <row r="164" spans="2:10" ht="15" customHeight="1" x14ac:dyDescent="0.25">
      <c r="B164" s="294" t="s">
        <v>309</v>
      </c>
      <c r="C164" s="299"/>
      <c r="D164" s="280">
        <f>SUM(C162:C164)</f>
        <v>0</v>
      </c>
      <c r="H164" s="98"/>
      <c r="J164" s="7"/>
    </row>
    <row r="165" spans="2:10" ht="15" customHeight="1" thickBot="1" x14ac:dyDescent="0.3">
      <c r="B165" s="300" t="s">
        <v>310</v>
      </c>
      <c r="C165" s="301"/>
      <c r="D165" s="302"/>
      <c r="E165" s="246"/>
      <c r="F165" s="246"/>
      <c r="G165" s="246"/>
      <c r="H165" s="287"/>
      <c r="J165" s="7"/>
    </row>
    <row r="166" spans="2:10" ht="15" customHeight="1" x14ac:dyDescent="0.25">
      <c r="B166" s="280"/>
      <c r="D166" s="303">
        <f>D160+D164+D165</f>
        <v>0</v>
      </c>
      <c r="J166" s="7"/>
    </row>
    <row r="167" spans="2:10" ht="15" customHeight="1" x14ac:dyDescent="0.25">
      <c r="J167" s="261"/>
    </row>
  </sheetData>
  <mergeCells count="28">
    <mergeCell ref="B137:H137"/>
    <mergeCell ref="B138:H138"/>
    <mergeCell ref="B139:G139"/>
    <mergeCell ref="G141:H141"/>
    <mergeCell ref="G129:H129"/>
    <mergeCell ref="B132:H132"/>
    <mergeCell ref="B133:H133"/>
    <mergeCell ref="B134:H134"/>
    <mergeCell ref="B135:H135"/>
    <mergeCell ref="B136:H136"/>
    <mergeCell ref="E84:G84"/>
    <mergeCell ref="E85:G85"/>
    <mergeCell ref="E86:G86"/>
    <mergeCell ref="I98:J98"/>
    <mergeCell ref="I111:J111"/>
    <mergeCell ref="I121:J121"/>
    <mergeCell ref="C52:D52"/>
    <mergeCell ref="A55:I55"/>
    <mergeCell ref="A56:B56"/>
    <mergeCell ref="F56:I56"/>
    <mergeCell ref="E75:G75"/>
    <mergeCell ref="E83:G83"/>
    <mergeCell ref="A1:C1"/>
    <mergeCell ref="D1:H1"/>
    <mergeCell ref="J1:L1"/>
    <mergeCell ref="A2:C2"/>
    <mergeCell ref="F2:G2"/>
    <mergeCell ref="C51:D51"/>
  </mergeCells>
  <conditionalFormatting sqref="F40">
    <cfRule type="expression" dxfId="0" priority="1" stopIfTrue="1">
      <formula>"""$E$55=0"""</formula>
    </cfRule>
  </conditionalFormatting>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9</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Tax Doctor</dc:creator>
  <cp:lastModifiedBy>Tax Doctor</cp:lastModifiedBy>
  <dcterms:created xsi:type="dcterms:W3CDTF">2021-10-18T09:26:40Z</dcterms:created>
  <dcterms:modified xsi:type="dcterms:W3CDTF">2021-10-18T09:26:52Z</dcterms:modified>
</cp:coreProperties>
</file>