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Tax Doctor\Desktop\"/>
    </mc:Choice>
  </mc:AlternateContent>
  <xr:revisionPtr revIDLastSave="0" documentId="13_ncr:1_{CF33EC9D-7BBD-4640-85AB-E9FECE895978}" xr6:coauthVersionLast="47" xr6:coauthVersionMax="47" xr10:uidLastSave="{00000000-0000-0000-0000-000000000000}"/>
  <bookViews>
    <workbookView xWindow="-108" yWindow="-108" windowWidth="23256" windowHeight="12720" tabRatio="717" firstSheet="1" activeTab="1" xr2:uid="{00000000-000D-0000-FFFF-FFFF00000000}"/>
  </bookViews>
  <sheets>
    <sheet name="87A (2)" sheetId="8" state="hidden" r:id="rId1"/>
    <sheet name="Case-MLN" sheetId="16" r:id="rId2"/>
    <sheet name="Test-Dec 21" sheetId="14" state="hidden" r:id="rId3"/>
    <sheet name="Cals-Oct-21" sheetId="15" r:id="rId4"/>
    <sheet name="Cals-Dec-21" sheetId="17" state="hidden" r:id="rId5"/>
  </sheets>
  <externalReferences>
    <externalReference r:id="rId6"/>
  </externalReferences>
  <definedNames>
    <definedName name="newbasicPB4">[1]Sheet1!$T$4:$T$37</definedName>
    <definedName name="oldbasicPB4">[1]Sheet1!$S$4:$S$37</definedName>
    <definedName name="_xlnm.Print_Area" localSheetId="0">'87A (2)'!$A$1:$G$53</definedName>
    <definedName name="_xlnm.Print_Area" localSheetId="4">'Cals-Dec-21'!$A$1:$I$67</definedName>
    <definedName name="_xlnm.Print_Area" localSheetId="3">'Cals-Oct-21'!$A$1:$I$67</definedName>
    <definedName name="_xlnm.Print_Area" localSheetId="1">'Case-MLN'!$A$1:$D$48</definedName>
    <definedName name="_xlnm.Print_Area" localSheetId="2">'Test-Dec 21'!$A$1:$D$50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9" i="15" l="1"/>
  <c r="H111" i="15"/>
  <c r="H102" i="15"/>
  <c r="G8" i="15" l="1"/>
  <c r="D152" i="17"/>
  <c r="D154" i="17" s="1"/>
  <c r="D148" i="17"/>
  <c r="C93" i="17"/>
  <c r="E101" i="17" s="1"/>
  <c r="E84" i="17"/>
  <c r="E109" i="17" s="1"/>
  <c r="B66" i="17"/>
  <c r="B52" i="17"/>
  <c r="L51" i="17"/>
  <c r="G46" i="17"/>
  <c r="I46" i="17" s="1"/>
  <c r="H73" i="17" s="1"/>
  <c r="G44" i="17"/>
  <c r="F39" i="17"/>
  <c r="F41" i="17" s="1"/>
  <c r="G41" i="17" s="1"/>
  <c r="H49" i="17" s="1"/>
  <c r="G27" i="17"/>
  <c r="H31" i="17" s="1"/>
  <c r="G22" i="17"/>
  <c r="H23" i="17" s="1"/>
  <c r="I23" i="17" s="1"/>
  <c r="H71" i="17" s="1"/>
  <c r="H19" i="17"/>
  <c r="I19" i="17" s="1"/>
  <c r="G12" i="17"/>
  <c r="G14" i="17" s="1"/>
  <c r="L9" i="17"/>
  <c r="G8" i="17"/>
  <c r="G4" i="17"/>
  <c r="G7" i="17" s="1"/>
  <c r="H2" i="17"/>
  <c r="I31" i="17" l="1"/>
  <c r="I10" i="17"/>
  <c r="G9" i="17"/>
  <c r="G15" i="17"/>
  <c r="H16" i="17" s="1"/>
  <c r="I16" i="17" s="1"/>
  <c r="E53" i="17"/>
  <c r="H53" i="17" s="1"/>
  <c r="I53" i="17" s="1"/>
  <c r="I76" i="17" s="1"/>
  <c r="E97" i="17"/>
  <c r="D34" i="16"/>
  <c r="D29" i="16"/>
  <c r="G10" i="17" l="1"/>
  <c r="H10" i="17" s="1"/>
  <c r="H35" i="17" s="1"/>
  <c r="H50" i="17" s="1"/>
  <c r="H70" i="17"/>
  <c r="H72" i="17" s="1"/>
  <c r="H74" i="17" s="1"/>
  <c r="I35" i="17"/>
  <c r="I50" i="17" s="1"/>
  <c r="L9" i="15"/>
  <c r="I52" i="17" l="1"/>
  <c r="I54" i="17"/>
  <c r="E52" i="17"/>
  <c r="H52" i="17" s="1"/>
  <c r="H55" i="17" s="1"/>
  <c r="H54" i="17"/>
  <c r="F38" i="15"/>
  <c r="E84" i="15"/>
  <c r="E97" i="15" s="1"/>
  <c r="D152" i="15"/>
  <c r="D148" i="15"/>
  <c r="C93" i="15"/>
  <c r="E101" i="15" s="1"/>
  <c r="D37" i="14"/>
  <c r="G12" i="15"/>
  <c r="D29" i="14"/>
  <c r="E109" i="15" l="1"/>
  <c r="D154" i="15"/>
  <c r="I75" i="17"/>
  <c r="I77" i="17" s="1"/>
  <c r="H56" i="17"/>
  <c r="I55" i="17"/>
  <c r="I56" i="17" s="1"/>
  <c r="G45" i="15"/>
  <c r="G4" i="15"/>
  <c r="D33" i="14"/>
  <c r="I57" i="17" l="1"/>
  <c r="I58" i="17"/>
  <c r="H57" i="17"/>
  <c r="H58" i="17" s="1"/>
  <c r="I78" i="17"/>
  <c r="I79" i="17" s="1"/>
  <c r="B66" i="15"/>
  <c r="L51" i="15"/>
  <c r="I45" i="15"/>
  <c r="H73" i="15" s="1"/>
  <c r="F40" i="15"/>
  <c r="G40" i="15" s="1"/>
  <c r="H49" i="15" s="1"/>
  <c r="G26" i="15"/>
  <c r="I30" i="15" s="1"/>
  <c r="H22" i="15"/>
  <c r="E53" i="15" s="1"/>
  <c r="H53" i="15" s="1"/>
  <c r="I53" i="15" s="1"/>
  <c r="I76" i="15" s="1"/>
  <c r="H19" i="15"/>
  <c r="I19" i="15" s="1"/>
  <c r="G14" i="15"/>
  <c r="G15" i="15" s="1"/>
  <c r="G7" i="15"/>
  <c r="G9" i="15" s="1"/>
  <c r="E83" i="17" l="1"/>
  <c r="J58" i="17"/>
  <c r="I60" i="17"/>
  <c r="H30" i="15"/>
  <c r="G10" i="15"/>
  <c r="H10" i="15" s="1"/>
  <c r="I22" i="15"/>
  <c r="H71" i="15" s="1"/>
  <c r="H16" i="15"/>
  <c r="I16" i="15" s="1"/>
  <c r="I10" i="15"/>
  <c r="H70" i="15" l="1"/>
  <c r="E85" i="17"/>
  <c r="E86" i="17" s="1"/>
  <c r="E108" i="17"/>
  <c r="E110" i="17" s="1"/>
  <c r="E111" i="17" s="1"/>
  <c r="H109" i="17" s="1"/>
  <c r="E96" i="17"/>
  <c r="E98" i="17" s="1"/>
  <c r="H72" i="15"/>
  <c r="H34" i="15"/>
  <c r="H50" i="15" s="1"/>
  <c r="E52" i="15" s="1"/>
  <c r="H52" i="15" s="1"/>
  <c r="H55" i="15" s="1"/>
  <c r="I34" i="15"/>
  <c r="I50" i="15" s="1"/>
  <c r="I52" i="15" s="1"/>
  <c r="I75" i="15" s="1"/>
  <c r="I77" i="15" s="1"/>
  <c r="H110" i="17" l="1"/>
  <c r="H111" i="17" s="1"/>
  <c r="H112" i="17" s="1"/>
  <c r="H113" i="17" s="1"/>
  <c r="E91" i="17"/>
  <c r="F91" i="17" s="1"/>
  <c r="G91" i="17" s="1"/>
  <c r="H91" i="17" s="1"/>
  <c r="E90" i="17"/>
  <c r="F90" i="17" s="1"/>
  <c r="G90" i="17" s="1"/>
  <c r="H90" i="17" s="1"/>
  <c r="E89" i="17"/>
  <c r="F89" i="17" s="1"/>
  <c r="G89" i="17" s="1"/>
  <c r="H89" i="17" s="1"/>
  <c r="E88" i="17"/>
  <c r="F88" i="17" s="1"/>
  <c r="G88" i="17" s="1"/>
  <c r="H88" i="17" s="1"/>
  <c r="E102" i="17"/>
  <c r="F102" i="17" s="1"/>
  <c r="H96" i="17" s="1"/>
  <c r="E100" i="17"/>
  <c r="H74" i="15"/>
  <c r="I78" i="15"/>
  <c r="I79" i="15" s="1"/>
  <c r="H54" i="15"/>
  <c r="I54" i="15"/>
  <c r="I55" i="15"/>
  <c r="H114" i="17" l="1"/>
  <c r="H97" i="17"/>
  <c r="H98" i="17" s="1"/>
  <c r="H99" i="17" s="1"/>
  <c r="H100" i="17" s="1"/>
  <c r="H101" i="17" s="1"/>
  <c r="H102" i="17" s="1"/>
  <c r="H103" i="17" s="1"/>
  <c r="H104" i="17" s="1"/>
  <c r="H105" i="17"/>
  <c r="H93" i="17"/>
  <c r="H56" i="15"/>
  <c r="H57" i="15" s="1"/>
  <c r="H58" i="15" s="1"/>
  <c r="E83" i="15" s="1"/>
  <c r="I56" i="15"/>
  <c r="H81" i="17" l="1"/>
  <c r="H59" i="17" s="1"/>
  <c r="H60" i="17" s="1"/>
  <c r="I57" i="15"/>
  <c r="I58" i="15" s="1"/>
  <c r="I60" i="15" s="1"/>
  <c r="J58" i="15" l="1"/>
  <c r="G65" i="17"/>
  <c r="H65" i="17" s="1"/>
  <c r="I65" i="17" s="1"/>
  <c r="I66" i="17" s="1"/>
  <c r="I2" i="17" s="1"/>
  <c r="G3" i="17" s="1"/>
  <c r="G1" i="17" s="1"/>
  <c r="E85" i="15"/>
  <c r="E86" i="15" s="1"/>
  <c r="E108" i="15"/>
  <c r="E110" i="15" s="1"/>
  <c r="E96" i="15"/>
  <c r="E98" i="15" s="1"/>
  <c r="E90" i="15" l="1"/>
  <c r="F90" i="15" s="1"/>
  <c r="G90" i="15" s="1"/>
  <c r="H90" i="15" s="1"/>
  <c r="E88" i="15"/>
  <c r="F88" i="15" s="1"/>
  <c r="G88" i="15" s="1"/>
  <c r="H88" i="15" s="1"/>
  <c r="E91" i="15"/>
  <c r="F91" i="15" s="1"/>
  <c r="G91" i="15" s="1"/>
  <c r="H91" i="15" s="1"/>
  <c r="E89" i="15"/>
  <c r="F89" i="15" s="1"/>
  <c r="G89" i="15" s="1"/>
  <c r="H89" i="15" s="1"/>
  <c r="E102" i="15"/>
  <c r="F102" i="15" s="1"/>
  <c r="H96" i="15" s="1"/>
  <c r="E100" i="15"/>
  <c r="H97" i="15" l="1"/>
  <c r="H98" i="15" s="1"/>
  <c r="H99" i="15" s="1"/>
  <c r="H100" i="15" s="1"/>
  <c r="H101" i="15" s="1"/>
  <c r="H93" i="15"/>
  <c r="H105" i="15" l="1"/>
  <c r="F51" i="8"/>
  <c r="D51" i="8"/>
  <c r="E51" i="8" s="1"/>
  <c r="G51" i="8" s="1"/>
  <c r="B51" i="8"/>
  <c r="J50" i="8"/>
  <c r="J51" i="8" s="1"/>
  <c r="F50" i="8"/>
  <c r="D50" i="8"/>
  <c r="E50" i="8" s="1"/>
  <c r="G50" i="8" s="1"/>
  <c r="B50" i="8"/>
  <c r="F49" i="8"/>
  <c r="D49" i="8"/>
  <c r="E49" i="8" s="1"/>
  <c r="G49" i="8" s="1"/>
  <c r="B49" i="8"/>
  <c r="F48" i="8"/>
  <c r="D48" i="8"/>
  <c r="E48" i="8" s="1"/>
  <c r="G48" i="8" s="1"/>
  <c r="B48" i="8"/>
  <c r="J47" i="8"/>
  <c r="F47" i="8"/>
  <c r="D47" i="8"/>
  <c r="E47" i="8" s="1"/>
  <c r="G47" i="8" s="1"/>
  <c r="B47" i="8"/>
  <c r="F37" i="8"/>
  <c r="D37" i="8"/>
  <c r="E37" i="8" s="1"/>
  <c r="G37" i="8" s="1"/>
  <c r="B37" i="8"/>
  <c r="J36" i="8"/>
  <c r="J37" i="8" s="1"/>
  <c r="F36" i="8"/>
  <c r="D36" i="8"/>
  <c r="E36" i="8" s="1"/>
  <c r="G36" i="8" s="1"/>
  <c r="B36" i="8"/>
  <c r="F35" i="8"/>
  <c r="D35" i="8"/>
  <c r="E35" i="8" s="1"/>
  <c r="G35" i="8" s="1"/>
  <c r="B35" i="8"/>
  <c r="F34" i="8"/>
  <c r="D34" i="8"/>
  <c r="E34" i="8" s="1"/>
  <c r="G34" i="8" s="1"/>
  <c r="B34" i="8"/>
  <c r="J33" i="8"/>
  <c r="F33" i="8"/>
  <c r="D33" i="8"/>
  <c r="E33" i="8" s="1"/>
  <c r="G33" i="8" s="1"/>
  <c r="B33" i="8"/>
  <c r="F23" i="8"/>
  <c r="D23" i="8"/>
  <c r="E23" i="8" s="1"/>
  <c r="G23" i="8" s="1"/>
  <c r="B23" i="8"/>
  <c r="F22" i="8"/>
  <c r="D22" i="8"/>
  <c r="E22" i="8" s="1"/>
  <c r="G22" i="8" s="1"/>
  <c r="B22" i="8"/>
  <c r="J21" i="8"/>
  <c r="J22" i="8" s="1"/>
  <c r="F21" i="8"/>
  <c r="D21" i="8"/>
  <c r="E21" i="8" s="1"/>
  <c r="G21" i="8" s="1"/>
  <c r="B21" i="8"/>
  <c r="F20" i="8"/>
  <c r="D20" i="8"/>
  <c r="E20" i="8" s="1"/>
  <c r="G20" i="8" s="1"/>
  <c r="B20" i="8"/>
  <c r="F19" i="8"/>
  <c r="D19" i="8"/>
  <c r="E19" i="8" s="1"/>
  <c r="G19" i="8" s="1"/>
  <c r="B19" i="8"/>
  <c r="J18" i="8"/>
  <c r="E111" i="15" l="1"/>
  <c r="H109" i="15" l="1"/>
  <c r="H110" i="15" s="1"/>
  <c r="H114" i="15" l="1"/>
  <c r="H81" i="15" s="1"/>
  <c r="H60" i="15" l="1"/>
  <c r="G65" i="15" s="1"/>
  <c r="H65" i="15" s="1"/>
  <c r="I65" i="15" s="1"/>
  <c r="I66" i="15" s="1"/>
  <c r="G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G1" authorId="0" shapeId="0" xr:uid="{00000000-0006-0000-0300-000001000000}">
      <text>
        <r>
          <rPr>
            <b/>
            <sz val="8"/>
            <color indexed="81"/>
            <rFont val="Tahoma"/>
            <family val="2"/>
          </rPr>
          <t>RATHORE:</t>
        </r>
        <r>
          <rPr>
            <sz val="8"/>
            <color indexed="81"/>
            <rFont val="Tahoma"/>
            <family val="2"/>
          </rPr>
          <t xml:space="preserve">
</t>
        </r>
      </text>
    </comment>
    <comment ref="C41" authorId="0" shapeId="0" xr:uid="{00000000-0006-0000-0300-000002000000}">
      <text>
        <r>
          <rPr>
            <b/>
            <sz val="8"/>
            <color indexed="81"/>
            <rFont val="Tahoma"/>
            <family val="2"/>
          </rPr>
          <t>RATHORE:</t>
        </r>
        <r>
          <rPr>
            <sz val="8"/>
            <color indexed="81"/>
            <rFont val="Tahoma"/>
            <family val="2"/>
          </rPr>
          <t xml:space="preserve">
MAX AMT.RS. 20000</t>
        </r>
      </text>
    </comment>
    <comment ref="C46" authorId="0" shapeId="0" xr:uid="{3633D5F7-A48E-4C46-A7D2-96772CFB3FDE}">
      <text>
        <r>
          <rPr>
            <b/>
            <sz val="8"/>
            <color indexed="81"/>
            <rFont val="Tahoma"/>
            <family val="2"/>
          </rPr>
          <t>RATHORE:</t>
        </r>
        <r>
          <rPr>
            <sz val="8"/>
            <color indexed="81"/>
            <rFont val="Tahoma"/>
            <family val="2"/>
          </rPr>
          <t xml:space="preserve">
MAX AMT.RS. 20000</t>
        </r>
      </text>
    </comment>
    <comment ref="C47" authorId="0" shapeId="0" xr:uid="{00000000-0006-0000-0300-000003000000}">
      <text>
        <r>
          <rPr>
            <b/>
            <sz val="8"/>
            <color indexed="81"/>
            <rFont val="Tahoma"/>
            <family val="2"/>
          </rPr>
          <t>RATHORE:</t>
        </r>
        <r>
          <rPr>
            <sz val="8"/>
            <color indexed="81"/>
            <rFont val="Tahoma"/>
            <family val="2"/>
          </rPr>
          <t xml:space="preserve">
MAX AMT.RS. 20000</t>
        </r>
      </text>
    </comment>
    <comment ref="C48" authorId="0" shapeId="0" xr:uid="{00000000-0006-0000-0300-000004000000}">
      <text>
        <r>
          <rPr>
            <b/>
            <sz val="8"/>
            <color indexed="81"/>
            <rFont val="Tahoma"/>
            <family val="2"/>
          </rPr>
          <t>RATHORE:</t>
        </r>
        <r>
          <rPr>
            <sz val="8"/>
            <color indexed="81"/>
            <rFont val="Tahoma"/>
            <family val="2"/>
          </rPr>
          <t xml:space="preserve">
</t>
        </r>
      </text>
    </comment>
    <comment ref="B49" authorId="0" shapeId="0" xr:uid="{00000000-0006-0000-0300-000005000000}">
      <text>
        <r>
          <rPr>
            <b/>
            <sz val="8"/>
            <color indexed="81"/>
            <rFont val="Tahoma"/>
            <family val="2"/>
          </rPr>
          <t>RATHORE:</t>
        </r>
        <r>
          <rPr>
            <sz val="8"/>
            <color indexed="81"/>
            <rFont val="Tahoma"/>
            <family val="2"/>
          </rPr>
          <t xml:space="preserve">
</t>
        </r>
      </text>
    </comment>
    <comment ref="C49" authorId="0" shapeId="0" xr:uid="{00000000-0006-0000-0300-000006000000}">
      <text>
        <r>
          <rPr>
            <b/>
            <sz val="8"/>
            <color indexed="81"/>
            <rFont val="Tahoma"/>
            <family val="2"/>
          </rPr>
          <t>RATHORE:</t>
        </r>
        <r>
          <rPr>
            <sz val="8"/>
            <color indexed="81"/>
            <rFont val="Tahoma"/>
            <family val="2"/>
          </rPr>
          <t xml:space="preserve">
</t>
        </r>
      </text>
    </comment>
    <comment ref="B52" authorId="0" shapeId="0" xr:uid="{00000000-0006-0000-0300-000007000000}">
      <text>
        <r>
          <rPr>
            <b/>
            <sz val="8"/>
            <color indexed="81"/>
            <rFont val="Tahoma"/>
            <family val="2"/>
          </rPr>
          <t>RATHORE:</t>
        </r>
        <r>
          <rPr>
            <sz val="8"/>
            <color indexed="81"/>
            <rFont val="Tahoma"/>
            <family val="2"/>
          </rPr>
          <t xml:space="preserve">
</t>
        </r>
      </text>
    </comment>
    <comment ref="C62" authorId="0" shapeId="0" xr:uid="{00000000-0006-0000-0300-000008000000}">
      <text>
        <r>
          <rPr>
            <b/>
            <sz val="8"/>
            <color indexed="81"/>
            <rFont val="Tahoma"/>
            <family val="2"/>
          </rPr>
          <t>RATHORE:</t>
        </r>
        <r>
          <rPr>
            <sz val="8"/>
            <color indexed="81"/>
            <rFont val="Tahoma"/>
            <family val="2"/>
          </rPr>
          <t xml:space="preserve">
</t>
        </r>
      </text>
    </comment>
    <comment ref="C65" authorId="1" shapeId="0" xr:uid="{00000000-0006-0000-0300-000009000000}">
      <text>
        <r>
          <rPr>
            <b/>
            <sz val="8"/>
            <color indexed="81"/>
            <rFont val="Tahoma"/>
            <family val="2"/>
          </rPr>
          <t>rathore's:</t>
        </r>
        <r>
          <rPr>
            <sz val="8"/>
            <color indexed="81"/>
            <rFont val="Tahoma"/>
            <family val="2"/>
          </rPr>
          <t xml:space="preserve">
</t>
        </r>
      </text>
    </comment>
    <comment ref="B66" authorId="0" shapeId="0" xr:uid="{00000000-0006-0000-0300-00000A000000}">
      <text>
        <r>
          <rPr>
            <b/>
            <sz val="8"/>
            <color indexed="81"/>
            <rFont val="Tahoma"/>
            <family val="2"/>
          </rPr>
          <t>RATHORE: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RATHORE</author>
    <author>rathore's</author>
  </authors>
  <commentList>
    <comment ref="G1" authorId="0" shapeId="0" xr:uid="{00000000-0006-0000-0400-000001000000}">
      <text>
        <r>
          <rPr>
            <b/>
            <sz val="8"/>
            <color indexed="81"/>
            <rFont val="Tahoma"/>
            <family val="2"/>
          </rPr>
          <t>RATHORE:</t>
        </r>
        <r>
          <rPr>
            <sz val="8"/>
            <color indexed="81"/>
            <rFont val="Tahoma"/>
            <family val="2"/>
          </rPr>
          <t xml:space="preserve">
</t>
        </r>
      </text>
    </comment>
    <comment ref="C42" authorId="0" shapeId="0" xr:uid="{00000000-0006-0000-0400-000002000000}">
      <text>
        <r>
          <rPr>
            <b/>
            <sz val="8"/>
            <color indexed="81"/>
            <rFont val="Tahoma"/>
            <family val="2"/>
          </rPr>
          <t>RATHORE:</t>
        </r>
        <r>
          <rPr>
            <sz val="8"/>
            <color indexed="81"/>
            <rFont val="Tahoma"/>
            <family val="2"/>
          </rPr>
          <t xml:space="preserve">
MAX AMT.RS. 20000</t>
        </r>
      </text>
    </comment>
    <comment ref="C47" authorId="0" shapeId="0" xr:uid="{00000000-0006-0000-0400-000003000000}">
      <text>
        <r>
          <rPr>
            <b/>
            <sz val="8"/>
            <color indexed="81"/>
            <rFont val="Tahoma"/>
            <family val="2"/>
          </rPr>
          <t>RATHORE:</t>
        </r>
        <r>
          <rPr>
            <sz val="8"/>
            <color indexed="81"/>
            <rFont val="Tahoma"/>
            <family val="2"/>
          </rPr>
          <t xml:space="preserve">
MAX AMT.RS. 20000</t>
        </r>
      </text>
    </comment>
    <comment ref="C48" authorId="0" shapeId="0" xr:uid="{00000000-0006-0000-0400-000004000000}">
      <text>
        <r>
          <rPr>
            <b/>
            <sz val="8"/>
            <color indexed="81"/>
            <rFont val="Tahoma"/>
            <family val="2"/>
          </rPr>
          <t>RATHORE:</t>
        </r>
        <r>
          <rPr>
            <sz val="8"/>
            <color indexed="81"/>
            <rFont val="Tahoma"/>
            <family val="2"/>
          </rPr>
          <t xml:space="preserve">
</t>
        </r>
      </text>
    </comment>
    <comment ref="B49" authorId="0" shapeId="0" xr:uid="{00000000-0006-0000-0400-000005000000}">
      <text>
        <r>
          <rPr>
            <b/>
            <sz val="8"/>
            <color indexed="81"/>
            <rFont val="Tahoma"/>
            <family val="2"/>
          </rPr>
          <t>RATHORE:</t>
        </r>
        <r>
          <rPr>
            <sz val="8"/>
            <color indexed="81"/>
            <rFont val="Tahoma"/>
            <family val="2"/>
          </rPr>
          <t xml:space="preserve">
</t>
        </r>
      </text>
    </comment>
    <comment ref="C49" authorId="0" shapeId="0" xr:uid="{00000000-0006-0000-0400-000006000000}">
      <text>
        <r>
          <rPr>
            <b/>
            <sz val="8"/>
            <color indexed="81"/>
            <rFont val="Tahoma"/>
            <family val="2"/>
          </rPr>
          <t>RATHORE:</t>
        </r>
        <r>
          <rPr>
            <sz val="8"/>
            <color indexed="81"/>
            <rFont val="Tahoma"/>
            <family val="2"/>
          </rPr>
          <t xml:space="preserve">
</t>
        </r>
      </text>
    </comment>
    <comment ref="B52" authorId="0" shapeId="0" xr:uid="{00000000-0006-0000-0400-000007000000}">
      <text>
        <r>
          <rPr>
            <b/>
            <sz val="8"/>
            <color indexed="81"/>
            <rFont val="Tahoma"/>
            <family val="2"/>
          </rPr>
          <t>RATHORE:</t>
        </r>
        <r>
          <rPr>
            <sz val="8"/>
            <color indexed="81"/>
            <rFont val="Tahoma"/>
            <family val="2"/>
          </rPr>
          <t xml:space="preserve">
</t>
        </r>
      </text>
    </comment>
    <comment ref="C62" authorId="0" shapeId="0" xr:uid="{00000000-0006-0000-0400-000008000000}">
      <text>
        <r>
          <rPr>
            <b/>
            <sz val="8"/>
            <color indexed="81"/>
            <rFont val="Tahoma"/>
            <family val="2"/>
          </rPr>
          <t>RATHORE:</t>
        </r>
        <r>
          <rPr>
            <sz val="8"/>
            <color indexed="81"/>
            <rFont val="Tahoma"/>
            <family val="2"/>
          </rPr>
          <t xml:space="preserve">
</t>
        </r>
      </text>
    </comment>
    <comment ref="C65" authorId="1" shapeId="0" xr:uid="{00000000-0006-0000-0400-000009000000}">
      <text>
        <r>
          <rPr>
            <b/>
            <sz val="8"/>
            <color indexed="81"/>
            <rFont val="Tahoma"/>
            <family val="2"/>
          </rPr>
          <t>rathore's:</t>
        </r>
        <r>
          <rPr>
            <sz val="8"/>
            <color indexed="81"/>
            <rFont val="Tahoma"/>
            <family val="2"/>
          </rPr>
          <t xml:space="preserve">
</t>
        </r>
      </text>
    </comment>
    <comment ref="B66" authorId="0" shapeId="0" xr:uid="{00000000-0006-0000-0400-00000A000000}">
      <text>
        <r>
          <rPr>
            <b/>
            <sz val="8"/>
            <color indexed="81"/>
            <rFont val="Tahoma"/>
            <family val="2"/>
          </rPr>
          <t>RATHORE:</t>
        </r>
        <r>
          <rPr>
            <sz val="8"/>
            <color indexed="81"/>
            <rFont val="Tahoma"/>
            <family val="2"/>
          </rPr>
          <t xml:space="preserve">
</t>
        </r>
      </text>
    </comment>
  </commentList>
</comments>
</file>

<file path=xl/sharedStrings.xml><?xml version="1.0" encoding="utf-8"?>
<sst xmlns="http://schemas.openxmlformats.org/spreadsheetml/2006/main" count="655" uniqueCount="313">
  <si>
    <t xml:space="preserve">Nil </t>
  </si>
  <si>
    <t xml:space="preserve">Income Tax </t>
  </si>
  <si>
    <t xml:space="preserve">Tax Liability </t>
  </si>
  <si>
    <t>Above            10,00,000</t>
  </si>
  <si>
    <t>5,00,001   to  10,00,000</t>
  </si>
  <si>
    <t>2,50,001   to    5,00,000</t>
  </si>
  <si>
    <t>7,50,001   to  10,00,000</t>
  </si>
  <si>
    <t>5,00,001   to    7,50,000</t>
  </si>
  <si>
    <t>Old Tax Rates Regime</t>
  </si>
  <si>
    <t>New Tax Rates Regime</t>
  </si>
  <si>
    <t xml:space="preserve">No Change </t>
  </si>
  <si>
    <t>Health &amp; Education Cess @ 4%</t>
  </si>
  <si>
    <t>Rebate u/s 87A (if TI upto  5 Lakhs)</t>
  </si>
  <si>
    <t>No Surcharge   (if TI upto 50 Lakhs)</t>
  </si>
  <si>
    <t>12,50,001  to  15,00,000</t>
  </si>
  <si>
    <t xml:space="preserve">   Above            15,00,000</t>
  </si>
  <si>
    <t xml:space="preserve">   Upto             2,50,000</t>
  </si>
  <si>
    <t>Taxable Income</t>
  </si>
  <si>
    <t>5 % (250,000 to 500,000)</t>
  </si>
  <si>
    <t xml:space="preserve">Rebate </t>
  </si>
  <si>
    <t>Increase in Income  (Above Rs. 350,000)</t>
  </si>
  <si>
    <t xml:space="preserve">Increase in Tax Liability </t>
  </si>
  <si>
    <t>Nil</t>
  </si>
  <si>
    <t>NIL</t>
  </si>
  <si>
    <r>
      <t xml:space="preserve"> </t>
    </r>
    <r>
      <rPr>
        <b/>
        <sz val="14"/>
        <color rgb="FFB7DEE8"/>
        <rFont val="Arial"/>
        <family val="2"/>
      </rPr>
      <t>Non-Senior Citizen (Below 60 years  by 01-04-2020)</t>
    </r>
  </si>
  <si>
    <t>Rebate u/s  87A (Max Rs.  2500, Total Income not exceeding Rs. 350,000)</t>
  </si>
  <si>
    <t>Fin Year 2018-19  (01-04-2018 to 31-03-2019) AY 2019-20</t>
  </si>
  <si>
    <r>
      <t xml:space="preserve"> </t>
    </r>
    <r>
      <rPr>
        <b/>
        <sz val="10"/>
        <color rgb="FFC00000"/>
        <rFont val="Arial Narrow"/>
        <family val="2"/>
      </rPr>
      <t xml:space="preserve"> 03-02-20 </t>
    </r>
    <r>
      <rPr>
        <b/>
        <sz val="9"/>
        <color theme="1"/>
        <rFont val="Arial Narrow"/>
        <family val="2"/>
      </rPr>
      <t xml:space="preserve">Dr SB Rathore, </t>
    </r>
    <r>
      <rPr>
        <b/>
        <sz val="9"/>
        <color theme="9" tint="-0.499984740745262"/>
        <rFont val="Arial Narrow"/>
        <family val="2"/>
      </rPr>
      <t>M.Com; M.Phil; LL.B; Ph.D.</t>
    </r>
    <r>
      <rPr>
        <b/>
        <sz val="9"/>
        <color rgb="FF0A0AAE"/>
        <rFont val="Arial Narrow"/>
        <family val="2"/>
      </rPr>
      <t xml:space="preserve"> Former Associate Professor of Commerce</t>
    </r>
    <r>
      <rPr>
        <b/>
        <sz val="9"/>
        <color theme="1"/>
        <rFont val="Arial Narrow"/>
        <family val="2"/>
      </rPr>
      <t xml:space="preserve"> </t>
    </r>
    <r>
      <rPr>
        <b/>
        <sz val="8"/>
        <color theme="1"/>
        <rFont val="Arial Narrow"/>
        <family val="2"/>
      </rPr>
      <t>(42 yrs Teaching Experience)</t>
    </r>
    <r>
      <rPr>
        <b/>
        <sz val="9"/>
        <color theme="1"/>
        <rFont val="Arial Narrow"/>
        <family val="2"/>
      </rPr>
      <t xml:space="preserve"> Shyam Lal College (University  of DelhI)</t>
    </r>
    <r>
      <rPr>
        <b/>
        <sz val="10"/>
        <color theme="1"/>
        <rFont val="Arial Narrow"/>
        <family val="2"/>
      </rPr>
      <t xml:space="preserve"> </t>
    </r>
    <r>
      <rPr>
        <b/>
        <sz val="10"/>
        <color rgb="FFC00000"/>
        <rFont val="Arial Narrow"/>
        <family val="2"/>
      </rPr>
      <t>9811116835</t>
    </r>
  </si>
  <si>
    <t>Rebate u/s  87A (Max Rs. 12500, Total Income not exceeding Rs. 500,000)</t>
  </si>
  <si>
    <r>
      <t xml:space="preserve"> </t>
    </r>
    <r>
      <rPr>
        <b/>
        <sz val="14"/>
        <color rgb="FFB7DEE8"/>
        <rFont val="Arial"/>
        <family val="2"/>
      </rPr>
      <t xml:space="preserve">Non-Senior Citizen (Below 60 yrs  by 01-04-20)  </t>
    </r>
    <r>
      <rPr>
        <b/>
        <sz val="14"/>
        <color theme="5" tint="0.59999389629810485"/>
        <rFont val="Arial"/>
        <family val="2"/>
      </rPr>
      <t>Advised to do Tax Planning by 31-03-20</t>
    </r>
  </si>
  <si>
    <t>5% (Rs 2.5L to 5L) 20% (Rs 5L to 10L)</t>
  </si>
  <si>
    <t>Increase in Income  (Above Rs 500,000)</t>
  </si>
  <si>
    <t xml:space="preserve">  Tax Liability    with 4% HEC</t>
  </si>
  <si>
    <t xml:space="preserve">Tax </t>
  </si>
  <si>
    <t>Break Even</t>
  </si>
  <si>
    <t xml:space="preserve">Increased Income </t>
  </si>
  <si>
    <r>
      <t xml:space="preserve"> </t>
    </r>
    <r>
      <rPr>
        <b/>
        <sz val="14"/>
        <color rgb="FFB7DEE8"/>
        <rFont val="Arial"/>
        <family val="2"/>
      </rPr>
      <t xml:space="preserve">Non-Senior Citizen (Below 60 yrs  by 01-04-21)  </t>
    </r>
    <r>
      <rPr>
        <b/>
        <sz val="14"/>
        <color theme="5" tint="0.59999389629810485"/>
        <rFont val="Arial"/>
        <family val="2"/>
      </rPr>
      <t>Advised to do Tax Planning by 31-03-21</t>
    </r>
  </si>
  <si>
    <r>
      <t>Old Tax Rates Regime: Rebate u/s  87A</t>
    </r>
    <r>
      <rPr>
        <b/>
        <sz val="12"/>
        <color theme="7" tint="0.59999389629810485"/>
        <rFont val="Arial"/>
        <family val="2"/>
      </rPr>
      <t xml:space="preserve"> (Max Rs. 12500, Total Income not exceeding Rs. 500,000)</t>
    </r>
  </si>
  <si>
    <r>
      <rPr>
        <b/>
        <sz val="16"/>
        <color theme="9" tint="0.39997558519241921"/>
        <rFont val="Arial"/>
        <family val="2"/>
      </rPr>
      <t>Tax More than 100%</t>
    </r>
    <r>
      <rPr>
        <b/>
        <sz val="14"/>
        <color rgb="FFFFFFFF"/>
        <rFont val="Arial"/>
        <family val="2"/>
      </rPr>
      <t xml:space="preserve">    Fin Year 2020-21 (01-04-20 to 31-03-21) AY 2021-22</t>
    </r>
  </si>
  <si>
    <r>
      <rPr>
        <b/>
        <sz val="16"/>
        <color theme="9" tint="0.39997558519241921"/>
        <rFont val="Arial"/>
        <family val="2"/>
      </rPr>
      <t>Tax More than 100%</t>
    </r>
    <r>
      <rPr>
        <b/>
        <sz val="14"/>
        <color rgb="FFFFFFFF"/>
        <rFont val="Arial"/>
        <family val="2"/>
      </rPr>
      <t xml:space="preserve">    Fin Year 2019-20 (01-04-19 to 31-03-20) AY 2020-21</t>
    </r>
  </si>
  <si>
    <t>5% (Rs 2.5L to 5L) 10% (Rs 5L to 7.5L)</t>
  </si>
  <si>
    <r>
      <t>New Tax Rates Regime: Rebate u/s  87A</t>
    </r>
    <r>
      <rPr>
        <b/>
        <sz val="12"/>
        <color theme="1"/>
        <rFont val="Arial"/>
        <family val="2"/>
      </rPr>
      <t xml:space="preserve"> (Max Rs. 12500, Total Income not exceeding Rs. 500,000)</t>
    </r>
  </si>
  <si>
    <r>
      <rPr>
        <b/>
        <sz val="16"/>
        <color rgb="FF0A0AAE"/>
        <rFont val="Arial"/>
        <family val="2"/>
      </rPr>
      <t>Tax More than 100%</t>
    </r>
    <r>
      <rPr>
        <b/>
        <sz val="14"/>
        <color rgb="FF0A0AAE"/>
        <rFont val="Arial"/>
        <family val="2"/>
      </rPr>
      <t xml:space="preserve">         Fin Year 2020-21 (01-04-20 to 31-03-21) AY 2021-22</t>
    </r>
  </si>
  <si>
    <t xml:space="preserve">Tax Liability after Rebate </t>
  </si>
  <si>
    <r>
      <t xml:space="preserve"> </t>
    </r>
    <r>
      <rPr>
        <b/>
        <sz val="12"/>
        <color rgb="FFFF0000"/>
        <rFont val="Arial"/>
        <family val="2"/>
      </rPr>
      <t>All Individuals (Any Age or Gender)</t>
    </r>
    <r>
      <rPr>
        <b/>
        <sz val="12"/>
        <color theme="1"/>
        <rFont val="Arial"/>
        <family val="2"/>
      </rPr>
      <t xml:space="preserve">  Advised to Opt for Old Tax Rates Regime and do Tax Planning by 31-03-21</t>
    </r>
  </si>
  <si>
    <t>Avail Deductions under Chapter VIA (80C, 80D, 80G, 80GGC, etc) and avoid Tax Liability more than 100%</t>
  </si>
  <si>
    <t>No Deductions available under Chapter VIA (80C, 80D, 80G, etc) in New Tax Rates Regime to avoid Tax Liability more than 100%</t>
  </si>
  <si>
    <r>
      <t xml:space="preserve"> </t>
    </r>
    <r>
      <rPr>
        <b/>
        <sz val="10"/>
        <color rgb="FFC00000"/>
        <rFont val="Arial Narrow"/>
        <family val="2"/>
      </rPr>
      <t xml:space="preserve"> 04-02-20 </t>
    </r>
    <r>
      <rPr>
        <b/>
        <sz val="9"/>
        <color theme="1"/>
        <rFont val="Arial Narrow"/>
        <family val="2"/>
      </rPr>
      <t xml:space="preserve">Dr SB Rathore, </t>
    </r>
    <r>
      <rPr>
        <b/>
        <sz val="9"/>
        <color theme="9" tint="-0.499984740745262"/>
        <rFont val="Arial Narrow"/>
        <family val="2"/>
      </rPr>
      <t>M.Com; M.Phil; LL.B; Ph.D.</t>
    </r>
    <r>
      <rPr>
        <b/>
        <sz val="9"/>
        <color rgb="FF0A0AAE"/>
        <rFont val="Arial Narrow"/>
        <family val="2"/>
      </rPr>
      <t xml:space="preserve"> Former Associate Professor of Commerce</t>
    </r>
    <r>
      <rPr>
        <b/>
        <sz val="9"/>
        <color theme="1"/>
        <rFont val="Arial Narrow"/>
        <family val="2"/>
      </rPr>
      <t xml:space="preserve"> </t>
    </r>
    <r>
      <rPr>
        <b/>
        <sz val="8"/>
        <color theme="1"/>
        <rFont val="Arial Narrow"/>
        <family val="2"/>
      </rPr>
      <t>(42 yrs Teaching Experience)</t>
    </r>
    <r>
      <rPr>
        <b/>
        <sz val="9"/>
        <color theme="1"/>
        <rFont val="Arial Narrow"/>
        <family val="2"/>
      </rPr>
      <t xml:space="preserve"> Shyam Lal College (University  of DelhI)</t>
    </r>
    <r>
      <rPr>
        <b/>
        <sz val="10"/>
        <color theme="1"/>
        <rFont val="Arial Narrow"/>
        <family val="2"/>
      </rPr>
      <t xml:space="preserve"> </t>
    </r>
    <r>
      <rPr>
        <b/>
        <sz val="10"/>
        <color rgb="FFC00000"/>
        <rFont val="Arial Narrow"/>
        <family val="2"/>
      </rPr>
      <t>9811116835</t>
    </r>
  </si>
  <si>
    <t xml:space="preserve">Basic Salary </t>
  </si>
  <si>
    <t>House Rent Allowance</t>
  </si>
  <si>
    <t>Sec 80D</t>
  </si>
  <si>
    <t xml:space="preserve">Gross Salary </t>
  </si>
  <si>
    <t>Leave Travel Allowance</t>
  </si>
  <si>
    <t>10,00,001 to  12,50,000</t>
  </si>
  <si>
    <t>NAME</t>
  </si>
  <si>
    <t>PAN</t>
  </si>
  <si>
    <t>Aadhar Number</t>
  </si>
  <si>
    <t>DOB</t>
  </si>
  <si>
    <t>ADDRESS</t>
  </si>
  <si>
    <t>25, SAAKSHARA   APARTMENTS, A-3, PACHIM VIHAR, NEW DELHI-110063</t>
  </si>
  <si>
    <t>MOBILE NO.</t>
  </si>
  <si>
    <t>EMAIL ID</t>
  </si>
  <si>
    <t>RATHORE_INCOMETAX@YAHOO.CO.IN</t>
  </si>
  <si>
    <t>RESIDENTIAL STATUS</t>
  </si>
  <si>
    <t xml:space="preserve">RETURN FILED U/S </t>
  </si>
  <si>
    <t>Employer's Details</t>
  </si>
  <si>
    <t>NO. OF BANK A/C</t>
  </si>
  <si>
    <t xml:space="preserve">Two </t>
  </si>
  <si>
    <t>DETAILS OF BANK A/C</t>
  </si>
  <si>
    <t>NAME OF BANK</t>
  </si>
  <si>
    <t>State Bank of India</t>
  </si>
  <si>
    <t>A/C NO</t>
  </si>
  <si>
    <t>03271000009876</t>
  </si>
  <si>
    <t>IFS CODE</t>
  </si>
  <si>
    <t>HDFC0000327</t>
  </si>
  <si>
    <t>SBIN0001067</t>
  </si>
  <si>
    <t>TYPE OF A/C</t>
  </si>
  <si>
    <t xml:space="preserve">Saving  </t>
  </si>
  <si>
    <t>Saving</t>
  </si>
  <si>
    <t xml:space="preserve">Income Details    </t>
  </si>
  <si>
    <t>Amount</t>
  </si>
  <si>
    <t>Income from salary</t>
  </si>
  <si>
    <t>Income from house property</t>
  </si>
  <si>
    <t>Interest on Capital borrowed for Purchase of House Property</t>
  </si>
  <si>
    <t>Income from Capital gain</t>
  </si>
  <si>
    <t>Income from other sources</t>
  </si>
  <si>
    <t>Investment/expenditure</t>
  </si>
  <si>
    <t>Mediclaim insurance premium for assessee and Spouse</t>
  </si>
  <si>
    <t>Tax deducted at source</t>
  </si>
  <si>
    <t xml:space="preserve">Advance tax / Self-assessment tax paid by assessee </t>
  </si>
  <si>
    <t>AAAPR6835H</t>
  </si>
  <si>
    <t>Daulat Ram College (University of Delhi),  Delhi-110007</t>
  </si>
  <si>
    <t>Address of Property (SOP) 25, Saakshara Apartments, A-3, Paschim Vihar, New Delhi-110063</t>
  </si>
  <si>
    <t>By State Bank of India (TAN: DELS06835D)</t>
  </si>
  <si>
    <t>2576-5666-0811</t>
  </si>
  <si>
    <t>FATHER's  NAME</t>
  </si>
  <si>
    <t>Fin. Yr.  2020-21 (Assessment Yr.  2021-22)</t>
  </si>
  <si>
    <t>Old Tax Regime</t>
  </si>
  <si>
    <t>New Tax  Regime</t>
  </si>
  <si>
    <t xml:space="preserve">Computation of Income and Tax Paid </t>
  </si>
  <si>
    <r>
      <t xml:space="preserve">SALARIES </t>
    </r>
    <r>
      <rPr>
        <sz val="10"/>
        <color theme="1"/>
        <rFont val="Arial"/>
        <family val="2"/>
      </rPr>
      <t>U/S 15-17</t>
    </r>
  </si>
  <si>
    <t xml:space="preserve">VALUE OF PERKS  </t>
  </si>
  <si>
    <t xml:space="preserve">PROFIT IN LIEU OF SALARY </t>
  </si>
  <si>
    <t xml:space="preserve">Less Exempt Allowances (HRA, CEA, etc) </t>
  </si>
  <si>
    <t xml:space="preserve">Net Salary </t>
  </si>
  <si>
    <t>Less Standard  Deduction</t>
  </si>
  <si>
    <r>
      <t xml:space="preserve">HOUSE PROPERTY </t>
    </r>
    <r>
      <rPr>
        <sz val="10"/>
        <color theme="1"/>
        <rFont val="Arial"/>
        <family val="2"/>
      </rPr>
      <t>U/S 22-27</t>
    </r>
  </si>
  <si>
    <t>LESS Local Taxes Paid</t>
  </si>
  <si>
    <t xml:space="preserve">LESS: Deductions </t>
  </si>
  <si>
    <t>Repairs  30%</t>
  </si>
  <si>
    <t>LESS: Deduction</t>
  </si>
  <si>
    <t xml:space="preserve">Interest on Housing Loan </t>
  </si>
  <si>
    <r>
      <t xml:space="preserve">INCOME FROM BUSINESS OR PROFESSION </t>
    </r>
    <r>
      <rPr>
        <sz val="10"/>
        <color theme="1"/>
        <rFont val="Arial"/>
        <family val="2"/>
      </rPr>
      <t>U/S 28-44</t>
    </r>
  </si>
  <si>
    <t xml:space="preserve">GROSS RECEIPTS </t>
  </si>
  <si>
    <t xml:space="preserve">LESS EXPENSES INCURRED </t>
  </si>
  <si>
    <r>
      <t xml:space="preserve">CAPITAL GAINS </t>
    </r>
    <r>
      <rPr>
        <sz val="10"/>
        <color theme="1"/>
        <rFont val="Arial"/>
        <family val="2"/>
      </rPr>
      <t>U/S 45 - 55</t>
    </r>
  </si>
  <si>
    <t>SHORT TERM CAPITAL GAIN</t>
  </si>
  <si>
    <t>LONG TERM CAPITAL GAIN</t>
  </si>
  <si>
    <r>
      <t xml:space="preserve">OTHER SOURCES </t>
    </r>
    <r>
      <rPr>
        <sz val="10"/>
        <color theme="1"/>
        <rFont val="Arial"/>
        <family val="2"/>
      </rPr>
      <t>U/S 56-59</t>
    </r>
  </si>
  <si>
    <t xml:space="preserve">SAVING BANK INTEREST </t>
  </si>
  <si>
    <t xml:space="preserve">State Bank of India </t>
  </si>
  <si>
    <t xml:space="preserve">BANK FDR INTEREST </t>
  </si>
  <si>
    <t>DIVIDEND</t>
  </si>
  <si>
    <t>Exempted Income</t>
  </si>
  <si>
    <t>GROSS TOTAL INCOME</t>
  </si>
  <si>
    <t xml:space="preserve">LESS: DEDUCTIONS UNDER CHAPTER VI-A </t>
  </si>
  <si>
    <r>
      <t xml:space="preserve">Sec  80CCD(1B) </t>
    </r>
    <r>
      <rPr>
        <sz val="9"/>
        <color theme="1"/>
        <rFont val="Arial"/>
        <family val="2"/>
      </rPr>
      <t>New Pension Scheme  Max 50000</t>
    </r>
  </si>
  <si>
    <r>
      <t xml:space="preserve">Sec  80CCD(2) </t>
    </r>
    <r>
      <rPr>
        <sz val="9"/>
        <color theme="1"/>
        <rFont val="Arial"/>
        <family val="2"/>
      </rPr>
      <t xml:space="preserve"> Employer's Contribution to NPS</t>
    </r>
  </si>
  <si>
    <t>Sec  80CCD (1B)</t>
  </si>
  <si>
    <t>Sec  80CCD (2)</t>
  </si>
  <si>
    <t>Sec 80TTA</t>
  </si>
  <si>
    <t>Old Regime</t>
  </si>
  <si>
    <t>New Regime</t>
  </si>
  <si>
    <t xml:space="preserve">Exemption Non-Sr </t>
  </si>
  <si>
    <t xml:space="preserve">TOTAL  INCOME </t>
  </si>
  <si>
    <t>Rounding Off u/s 288A</t>
  </si>
  <si>
    <t>Exemption Senior</t>
  </si>
  <si>
    <t xml:space="preserve">TAX ON TOTAL INCOME </t>
  </si>
  <si>
    <t>upto 500,000</t>
  </si>
  <si>
    <t>NORMAL INCOME</t>
  </si>
  <si>
    <t>Slabs</t>
  </si>
  <si>
    <t>500,000  to   750,000</t>
  </si>
  <si>
    <t>SPECIAL INCOME</t>
  </si>
  <si>
    <t>750,000 to 1000,000</t>
  </si>
  <si>
    <r>
      <t xml:space="preserve">LESS : REBATE  u/s 87A </t>
    </r>
    <r>
      <rPr>
        <sz val="8"/>
        <color theme="1"/>
        <rFont val="Arial Narrow"/>
        <family val="2"/>
      </rPr>
      <t>(Max Rs. 12500, if Total Income not exceeding  Rs. 500,000)</t>
    </r>
  </si>
  <si>
    <t>1000,000 to 1250,000</t>
  </si>
  <si>
    <t>ADD : SURCHARGE  (10%, 15%, 25%, 37%)</t>
  </si>
  <si>
    <t>1250,000 to 1500,000</t>
  </si>
  <si>
    <t>ADD : HEALTH &amp; EDUCATION CESS (4 % ON TAX PAYABLE)</t>
  </si>
  <si>
    <t>Above 1500,000</t>
  </si>
  <si>
    <r>
      <t>TOTAL TAX PAYABLE</t>
    </r>
    <r>
      <rPr>
        <sz val="10"/>
        <color theme="1"/>
        <rFont val="Arial"/>
        <family val="2"/>
      </rPr>
      <t xml:space="preserve"> (including Surcharge &amp; Cesses) </t>
    </r>
  </si>
  <si>
    <t xml:space="preserve">ADD : INTEREST  PAYABLE U/S  234A, 234B, 234C </t>
  </si>
  <si>
    <t>TOTAL TAX AND INTEREST PAYABLE</t>
  </si>
  <si>
    <t xml:space="preserve">TAX PAID U/S 199 : </t>
  </si>
  <si>
    <t xml:space="preserve">ADVANCE TAX PAID U/S 210 </t>
  </si>
  <si>
    <t>T. D. S.  U/S 192</t>
  </si>
  <si>
    <t>T. D. S.  U/S 194A</t>
  </si>
  <si>
    <t>SELF-ASSESSMENT TAX PAID U/S 140A</t>
  </si>
  <si>
    <t>Rounding Off u/s 288B</t>
  </si>
  <si>
    <t>New Pension Scheme (Employee's Contribution)</t>
  </si>
  <si>
    <t xml:space="preserve">Repayment of Housing Loan (Principal) </t>
  </si>
  <si>
    <t>HBA</t>
  </si>
  <si>
    <t>PPF</t>
  </si>
  <si>
    <t xml:space="preserve">Public Provident fund    </t>
  </si>
  <si>
    <t>Saving Banks interest:  HDFC Rs 15000 &amp; SBI Rs. 8000</t>
  </si>
  <si>
    <t xml:space="preserve">Dearness Allowance </t>
  </si>
  <si>
    <t xml:space="preserve">House Rent Allowance </t>
  </si>
  <si>
    <t xml:space="preserve">Transport Allowance </t>
  </si>
  <si>
    <t xml:space="preserve">SALARY &amp; ALLOWANCES </t>
  </si>
  <si>
    <t xml:space="preserve">Children Education Allowance </t>
  </si>
  <si>
    <t>Employer's Contribution to NPS</t>
  </si>
  <si>
    <t xml:space="preserve">Amount </t>
  </si>
  <si>
    <t xml:space="preserve">HEC </t>
  </si>
  <si>
    <t>Conveyance Allowance</t>
  </si>
  <si>
    <r>
      <t>Upto 2,50,000</t>
    </r>
    <r>
      <rPr>
        <sz val="10"/>
        <color rgb="FFC00000"/>
        <rFont val="Arial"/>
        <family val="2"/>
      </rPr>
      <t xml:space="preserve"> </t>
    </r>
  </si>
  <si>
    <t>Capital Gain</t>
  </si>
  <si>
    <t>Total income</t>
  </si>
  <si>
    <t>Total Liability</t>
  </si>
  <si>
    <t>Calculation  of Interest under Sections 234A, 234B &amp; 234C</t>
  </si>
  <si>
    <t>Total Interest</t>
  </si>
  <si>
    <t>Section 234C: In case of Non-Sr Citizen: If  Amount Exceeds Rs. 10000</t>
  </si>
  <si>
    <t>Total Tax, Surcharge &amp; Cess</t>
  </si>
  <si>
    <t>Less TDS by the Employer, Bank</t>
  </si>
  <si>
    <t xml:space="preserve">Liability for Advance tax </t>
  </si>
  <si>
    <t>Deposit Date</t>
  </si>
  <si>
    <t xml:space="preserve">Tax Amount </t>
  </si>
  <si>
    <t>Last Date</t>
  </si>
  <si>
    <t>Round Down by 100</t>
  </si>
  <si>
    <t xml:space="preserve">Shortfall </t>
  </si>
  <si>
    <t>Interest</t>
  </si>
  <si>
    <t>Part -B</t>
  </si>
  <si>
    <t>80C - 80GGC</t>
  </si>
  <si>
    <t>Part -C</t>
  </si>
  <si>
    <t>80H - 80RRB</t>
  </si>
  <si>
    <t>Part- CA</t>
  </si>
  <si>
    <t>80TTA, 80TTB</t>
  </si>
  <si>
    <t>Part-D</t>
  </si>
  <si>
    <t>80U</t>
  </si>
  <si>
    <t>Section 234B:  If  Amount Exceeds Rs. 10000 (Less than 90 %.....)</t>
  </si>
  <si>
    <t xml:space="preserve"> Tax Liability after TDS</t>
  </si>
  <si>
    <t>Advance Tax   till 31-03-2021</t>
  </si>
  <si>
    <t xml:space="preserve">Tax Liability after Advance Tax </t>
  </si>
  <si>
    <t>Section 234A:  If Amount Exceeds Rs. 100000</t>
  </si>
  <si>
    <t xml:space="preserve">Sec 10(14) : Special Allowances prescribed as exempt </t>
  </si>
  <si>
    <t>Granted &amp; Incurred</t>
  </si>
  <si>
    <t>Sec 10(14)(i) : Exemption depend upon Actual Expenditure by the Employee</t>
  </si>
  <si>
    <t xml:space="preserve">Lower of (a) Allowance Amount or (b) Amount spent for specific purose </t>
  </si>
  <si>
    <r>
      <t>(</t>
    </r>
    <r>
      <rPr>
        <i/>
        <sz val="9"/>
        <color rgb="FF3E3E3E"/>
        <rFont val="Arial"/>
        <family val="2"/>
      </rPr>
      <t>a</t>
    </r>
    <r>
      <rPr>
        <sz val="9"/>
        <color rgb="FF3E3E3E"/>
        <rFont val="Arial"/>
        <family val="2"/>
      </rPr>
      <t>)</t>
    </r>
  </si>
  <si>
    <t>any allowance granted to meet the cost of travel on tour or on transfer;</t>
  </si>
  <si>
    <t>Travelling / Tour</t>
  </si>
  <si>
    <r>
      <t>(</t>
    </r>
    <r>
      <rPr>
        <i/>
        <sz val="9"/>
        <color rgb="FF3E3E3E"/>
        <rFont val="Arial"/>
        <family val="2"/>
      </rPr>
      <t>b</t>
    </r>
    <r>
      <rPr>
        <sz val="9"/>
        <color rgb="FF3E3E3E"/>
        <rFont val="Arial"/>
        <family val="2"/>
      </rPr>
      <t>)</t>
    </r>
  </si>
  <si>
    <t>any allowance, whether, granted on tour or for the period of journey in connection with transfer, to meet the ordinary daily charges incurred by an employee on account of absence from his normal place of duty;</t>
  </si>
  <si>
    <t>Conveyance</t>
  </si>
  <si>
    <r>
      <t>(</t>
    </r>
    <r>
      <rPr>
        <i/>
        <sz val="9"/>
        <color rgb="FF3E3E3E"/>
        <rFont val="Arial"/>
        <family val="2"/>
      </rPr>
      <t>c</t>
    </r>
    <r>
      <rPr>
        <sz val="9"/>
        <color rgb="FF3E3E3E"/>
        <rFont val="Arial"/>
        <family val="2"/>
      </rPr>
      <t>)</t>
    </r>
  </si>
  <si>
    <t>any allowance granted to meet the expenditure incurred on con-veyance in performance of duties of an office or employment of profit :</t>
  </si>
  <si>
    <t xml:space="preserve">Daily </t>
  </si>
  <si>
    <r>
      <t>(</t>
    </r>
    <r>
      <rPr>
        <i/>
        <sz val="9"/>
        <color rgb="FF3E3E3E"/>
        <rFont val="Arial"/>
        <family val="2"/>
      </rPr>
      <t>d</t>
    </r>
    <r>
      <rPr>
        <sz val="9"/>
        <color rgb="FF3E3E3E"/>
        <rFont val="Arial"/>
        <family val="2"/>
      </rPr>
      <t>)</t>
    </r>
  </si>
  <si>
    <t>any allowance granted to meet the expenditure incurred on a helper where such helper is engaged for the performance of the duties of an office or employment of profit;</t>
  </si>
  <si>
    <t>Helper</t>
  </si>
  <si>
    <r>
      <t>(</t>
    </r>
    <r>
      <rPr>
        <i/>
        <sz val="9"/>
        <color rgb="FF3E3E3E"/>
        <rFont val="Arial"/>
        <family val="2"/>
      </rPr>
      <t>e</t>
    </r>
    <r>
      <rPr>
        <sz val="9"/>
        <color rgb="FF3E3E3E"/>
        <rFont val="Arial"/>
        <family val="2"/>
      </rPr>
      <t>)</t>
    </r>
  </si>
  <si>
    <t>any allowance granted for encouraging the academic, research and training pursuits in educational and research institutions;</t>
  </si>
  <si>
    <t>Research</t>
  </si>
  <si>
    <r>
      <t>(</t>
    </r>
    <r>
      <rPr>
        <i/>
        <sz val="9"/>
        <color rgb="FF3E3E3E"/>
        <rFont val="Arial"/>
        <family val="2"/>
      </rPr>
      <t>f</t>
    </r>
    <r>
      <rPr>
        <sz val="9"/>
        <color rgb="FF3E3E3E"/>
        <rFont val="Arial"/>
        <family val="2"/>
      </rPr>
      <t>)</t>
    </r>
  </si>
  <si>
    <t>any allowance granted to meet the expenditure incurred on the purchase or maintenance of uniform for wear during the performance of the duties of an office or employment of profit.</t>
  </si>
  <si>
    <t>Uniform</t>
  </si>
  <si>
    <r>
      <t>Explanation</t>
    </r>
    <r>
      <rPr>
        <sz val="8"/>
        <color rgb="FF3E3E3E"/>
        <rFont val="Times New Roman"/>
        <family val="1"/>
      </rPr>
      <t> : For the purpose of clause (</t>
    </r>
    <r>
      <rPr>
        <i/>
        <sz val="8"/>
        <color rgb="FF3E3E3E"/>
        <rFont val="Times New Roman"/>
        <family val="1"/>
      </rPr>
      <t>a</t>
    </r>
    <r>
      <rPr>
        <sz val="8"/>
        <color rgb="FF3E3E3E"/>
        <rFont val="Times New Roman"/>
        <family val="1"/>
      </rPr>
      <t>), “allowance granted to meet the cost of travel on transfer” includes any sum paid in connection with transfer, packing and transportation of personal effects on such transfer.</t>
    </r>
  </si>
  <si>
    <t>for Clause © Provided that free conveyance is not provided by the employer;</t>
  </si>
  <si>
    <t xml:space="preserve">Granted </t>
  </si>
  <si>
    <t>Sec 10(14)(ii) : Exemption not dependent upon Actual Expenditure</t>
  </si>
  <si>
    <t>Lower of (a) Allowance Amount or (b) Amount specified in Rule 2BB</t>
  </si>
  <si>
    <t>Children Education  Allow</t>
  </si>
  <si>
    <t>Rs. 100 per month per child subject to max of  2 Children</t>
  </si>
  <si>
    <t>Hostel Expenditure Allow</t>
  </si>
  <si>
    <t>Rs. 300 per month per child subject to max of  2 Children</t>
  </si>
  <si>
    <t>Border Area Allowance</t>
  </si>
  <si>
    <t>Range Rs. 200 per month to Rs. 1300 per month</t>
  </si>
  <si>
    <t>Tribal Area/Scheduled Area</t>
  </si>
  <si>
    <t>Rs. 200 per month</t>
  </si>
  <si>
    <t xml:space="preserve">High Altitude Allowance </t>
  </si>
  <si>
    <t xml:space="preserve">Rs. 1060 per month (Altitude 9000 to 15000 feet); 1600 pm (Above 15000 Feet) </t>
  </si>
  <si>
    <t xml:space="preserve">Island Duty Allowance </t>
  </si>
  <si>
    <t xml:space="preserve">Rs. 3250 per month  (Andaman &amp; Nocobar;  Lakshadweep) </t>
  </si>
  <si>
    <t xml:space="preserve">Highly Active Field </t>
  </si>
  <si>
    <t xml:space="preserve">Rs. 4200 per month </t>
  </si>
  <si>
    <t>Transport Allow (Sec 80U)</t>
  </si>
  <si>
    <t xml:space="preserve">Rs. 3200 per month </t>
  </si>
  <si>
    <t xml:space="preserve">Sec 17 (1) </t>
  </si>
  <si>
    <t>Less Allowances u/s 10</t>
  </si>
  <si>
    <t xml:space="preserve">Less Deds u/s 16 </t>
  </si>
  <si>
    <t xml:space="preserve">Sec 10(5) Leave Travel </t>
  </si>
  <si>
    <t xml:space="preserve">Std Ded  u/s 16 (ia) </t>
  </si>
  <si>
    <t>Dearness Allowance</t>
  </si>
  <si>
    <t>Sec 10(13A) HRA</t>
  </si>
  <si>
    <t>Employment Tax</t>
  </si>
  <si>
    <t xml:space="preserve">Sec 10(14)(i) Conveyance </t>
  </si>
  <si>
    <t>Sec 10(14)(iI) CEA</t>
  </si>
  <si>
    <t>Children Edu Allowance</t>
  </si>
  <si>
    <t>Other Allowances</t>
  </si>
  <si>
    <t xml:space="preserve">Sec 17 (2) Perks </t>
  </si>
  <si>
    <t xml:space="preserve">Accommodation </t>
  </si>
  <si>
    <t xml:space="preserve">Car </t>
  </si>
  <si>
    <t>Others</t>
  </si>
  <si>
    <t xml:space="preserve">Sec 17 (3) Profit In lieu of Salary </t>
  </si>
  <si>
    <t>Sec  80CCD (1)</t>
  </si>
  <si>
    <t>Municipal Taxes paid by owner during the previous year</t>
  </si>
  <si>
    <t xml:space="preserve">By Employer-Daulat Ram College  (TAN: DELD00040F) Tax deducted @ New Tax Rates Regime </t>
  </si>
  <si>
    <t>Fixed Deposit Interest (SBI)  Net of TDS @ 7.50%</t>
  </si>
  <si>
    <t>PPF Interest credited during FY 2020-21  (Exempted)</t>
  </si>
  <si>
    <t>Let-Out</t>
  </si>
  <si>
    <t>ANNUAL VALUE / RENT RECEIVED</t>
  </si>
  <si>
    <t>Sale Value</t>
  </si>
  <si>
    <t xml:space="preserve">Acquired </t>
  </si>
  <si>
    <t>Rs 200@700</t>
  </si>
  <si>
    <t>HDFC</t>
  </si>
  <si>
    <t xml:space="preserve">Payment of Tuition Fees of Two Childern </t>
  </si>
  <si>
    <t>Sec  80C</t>
  </si>
  <si>
    <t xml:space="preserve">TUITION FEES </t>
  </si>
  <si>
    <t>Equity Dividend from Infosys  (100 Shares @ Rs.45)  Credited in Bank on  15/06/2020</t>
  </si>
  <si>
    <t>Rent Received @ Rs. 45000 per month</t>
  </si>
  <si>
    <t>Tax Due incuding Intt</t>
  </si>
  <si>
    <t>Self-Assessment  Tax paid on 25/12/2021  (BSR  0510308, Challan No.: 00021)</t>
  </si>
  <si>
    <t xml:space="preserve">Salaries+HP+OT </t>
  </si>
  <si>
    <t xml:space="preserve">Less 80 CCD(2) </t>
  </si>
  <si>
    <t xml:space="preserve">Normal </t>
  </si>
  <si>
    <t xml:space="preserve">Special </t>
  </si>
  <si>
    <t>INTT  ON PUBLIC PROV FUND</t>
  </si>
  <si>
    <t>(30000 - 2400)</t>
  </si>
  <si>
    <t xml:space="preserve">B. Com. (Hons) / (Prog) II year, Semester-III (Academic Year 2020-21) </t>
  </si>
  <si>
    <r>
      <t xml:space="preserve">Paper 3.2 Income Tax Law &amp; Practice       </t>
    </r>
    <r>
      <rPr>
        <b/>
        <sz val="11"/>
        <color rgb="FF00B050"/>
        <rFont val="Calibri"/>
        <family val="2"/>
        <scheme val="minor"/>
      </rPr>
      <t xml:space="preserve">  Practical Examintion  in  Dec 2021</t>
    </r>
    <r>
      <rPr>
        <b/>
        <sz val="11"/>
        <color rgb="FF0A0AAE"/>
        <rFont val="Calibri"/>
        <family val="2"/>
        <scheme val="minor"/>
      </rPr>
      <t xml:space="preserve">      Max Marks 20         Time 60 Minutes </t>
    </r>
  </si>
  <si>
    <r>
      <t xml:space="preserve">139(1), Original Return, </t>
    </r>
    <r>
      <rPr>
        <sz val="11"/>
        <color rgb="FFC00000"/>
        <rFont val="Calibri"/>
        <family val="2"/>
        <scheme val="minor"/>
      </rPr>
      <t>Filed on 25/12/2021</t>
    </r>
    <r>
      <rPr>
        <sz val="11"/>
        <color theme="1"/>
        <rFont val="Calibri"/>
        <family val="2"/>
        <scheme val="minor"/>
      </rPr>
      <t xml:space="preserve"> (Due Date 31/12/2021) </t>
    </r>
  </si>
  <si>
    <t xml:space="preserve">Resident and ordinary resident (Stayed in India for the 300 Days) </t>
  </si>
  <si>
    <r>
      <t xml:space="preserve">HDFC Bank Ltd </t>
    </r>
    <r>
      <rPr>
        <sz val="11"/>
        <color rgb="FF0A0AAE"/>
        <rFont val="Calibri"/>
        <family val="2"/>
        <scheme val="minor"/>
      </rPr>
      <t xml:space="preserve">(For Refund too) </t>
    </r>
  </si>
  <si>
    <t xml:space="preserve">Purchased 250 Reliance Equity Shares on 28/10/2019 (STT Paid) </t>
  </si>
  <si>
    <t xml:space="preserve">Sale consideration of  200 Reliance Equity Shares on 21/04/2020 (STT Paid) </t>
  </si>
  <si>
    <t>SIDDHARTH  RATHORE</t>
  </si>
  <si>
    <t>Address of  Property (Let-Out): A-125,   DLF Capital Greens, Moti Nagar, New  Delhi-110015, Name of Tenant:  Prof  Sunita Gupta (PAN: AAEPG7596G)</t>
  </si>
  <si>
    <t>S. B.  RATHORE</t>
  </si>
  <si>
    <r>
      <t xml:space="preserve">Paper 3.2 Income Tax Law &amp; Practice       </t>
    </r>
    <r>
      <rPr>
        <b/>
        <sz val="11"/>
        <color rgb="FF00B050"/>
        <rFont val="Calibri"/>
        <family val="2"/>
        <scheme val="minor"/>
      </rPr>
      <t xml:space="preserve">  Practical Examintion  </t>
    </r>
    <r>
      <rPr>
        <b/>
        <sz val="11"/>
        <color rgb="FF0A0AAE"/>
        <rFont val="Calibri"/>
        <family val="2"/>
        <scheme val="minor"/>
      </rPr>
      <t xml:space="preserve">    Max Marks 20         Time 60 Minutes </t>
    </r>
  </si>
  <si>
    <t xml:space="preserve">SELF-ASSESSMENT TAX PAID </t>
  </si>
  <si>
    <t xml:space="preserve">ADVANCE TAX PAID </t>
  </si>
  <si>
    <t>D.O.B. 25/12/1986</t>
  </si>
  <si>
    <r>
      <t xml:space="preserve">139(1), Original Return, </t>
    </r>
    <r>
      <rPr>
        <sz val="11"/>
        <color rgb="FFC00000"/>
        <rFont val="Calibri"/>
        <family val="2"/>
        <scheme val="minor"/>
      </rPr>
      <t>Filed on 23/10/2021</t>
    </r>
    <r>
      <rPr>
        <sz val="11"/>
        <color theme="1"/>
        <rFont val="Calibri"/>
        <family val="2"/>
        <scheme val="minor"/>
      </rPr>
      <t xml:space="preserve"> (Due Date 31/12/2021) </t>
    </r>
  </si>
  <si>
    <t xml:space="preserve">B. Com. (Hons) / (Prog) II year, Semester-III (Academic Year 2021-22) </t>
  </si>
  <si>
    <t>Motilal Nehru College (University of Delhi),  South Moti Bagh, New Delhi-110021</t>
  </si>
  <si>
    <t>Self-Assessment  Tax paid on 23/10/2021  (BSR  0510308, Challan No.: 00021)</t>
  </si>
  <si>
    <t>Address of  Property (Let-Out): A-125,   DLF Capital Greens, Moti Nagar, New  Delhi-110015, Name of Tenant:  Prof  Sarita Sharma (PAN: AAEPS7596G)</t>
  </si>
  <si>
    <t>SHORT ERM CAPITAL GAIN</t>
  </si>
  <si>
    <t xml:space="preserve"> RENT RECEIVED</t>
  </si>
  <si>
    <t xml:space="preserve">Self </t>
  </si>
  <si>
    <t>Sr Parents</t>
  </si>
  <si>
    <t xml:space="preserve">Mediclaim insurance premium for Parents (Sr Citizen) </t>
  </si>
  <si>
    <t>AAAPR6835M</t>
  </si>
  <si>
    <t xml:space="preserve">By Employer  (TAN: DELM00040F) Tax deducted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</si>
</sst>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409]d\-mmm\-yy;@"/>
  </numFmts>
  <fonts count="110" x14ac:knownFonts="1">
    <font>
      <sz val="11"/>
      <color theme="1"/>
      <name val="Calibri"/>
      <family val="2"/>
      <scheme val="minor"/>
    </font>
    <font>
      <sz val="14"/>
      <color theme="1"/>
      <name val="Arial"/>
      <family val="2"/>
    </font>
    <font>
      <sz val="10"/>
      <name val="Arial"/>
      <family val="2"/>
    </font>
    <font>
      <sz val="10"/>
      <name val="Arial"/>
      <family val="2"/>
    </font>
    <font>
      <sz val="11"/>
      <name val="Arial"/>
      <family val="2"/>
    </font>
    <font>
      <sz val="12"/>
      <color theme="1"/>
      <name val="Arial"/>
      <family val="2"/>
    </font>
    <font>
      <b/>
      <sz val="12"/>
      <color theme="1"/>
      <name val="Arial"/>
      <family val="2"/>
    </font>
    <font>
      <sz val="10"/>
      <color rgb="FF0000FF"/>
      <name val="Arial"/>
      <family val="2"/>
    </font>
    <font>
      <b/>
      <i/>
      <sz val="12"/>
      <color rgb="FF403152"/>
      <name val="Arial"/>
      <family val="2"/>
    </font>
    <font>
      <b/>
      <i/>
      <sz val="12"/>
      <color rgb="FF7030A0"/>
      <name val="Arial"/>
      <family val="2"/>
    </font>
    <font>
      <b/>
      <sz val="14"/>
      <color rgb="FFFFFFFF"/>
      <name val="Arial"/>
      <family val="2"/>
    </font>
    <font>
      <b/>
      <sz val="14"/>
      <color rgb="FFEEECE1"/>
      <name val="Arial"/>
      <family val="2"/>
    </font>
    <font>
      <b/>
      <sz val="14"/>
      <color rgb="FFB7DEE8"/>
      <name val="Arial"/>
      <family val="2"/>
    </font>
    <font>
      <b/>
      <sz val="14"/>
      <color rgb="FFCC00CC"/>
      <name val="Arial"/>
      <family val="2"/>
    </font>
    <font>
      <sz val="14"/>
      <name val="Arial"/>
      <family val="2"/>
    </font>
    <font>
      <b/>
      <sz val="14"/>
      <color rgb="FF000000"/>
      <name val="Arial"/>
      <family val="2"/>
    </font>
    <font>
      <b/>
      <sz val="14"/>
      <color rgb="FF3366FF"/>
      <name val="Arial"/>
      <family val="2"/>
    </font>
    <font>
      <b/>
      <sz val="14"/>
      <color rgb="FF902080"/>
      <name val="Arial"/>
      <family val="2"/>
    </font>
    <font>
      <b/>
      <sz val="14"/>
      <color rgb="FFC00000"/>
      <name val="Arial"/>
      <family val="2"/>
    </font>
    <font>
      <b/>
      <sz val="14"/>
      <color theme="7" tint="0.59999389629810485"/>
      <name val="Arial"/>
      <family val="2"/>
    </font>
    <font>
      <b/>
      <sz val="16"/>
      <color theme="7" tint="0.59999389629810485"/>
      <name val="Arial"/>
      <family val="2"/>
    </font>
    <font>
      <b/>
      <i/>
      <sz val="10"/>
      <color rgb="FF403152"/>
      <name val="Arial"/>
      <family val="2"/>
    </font>
    <font>
      <b/>
      <sz val="10"/>
      <color theme="1"/>
      <name val="Arial Narrow"/>
      <family val="2"/>
    </font>
    <font>
      <b/>
      <sz val="9"/>
      <color theme="1"/>
      <name val="Arial Narrow"/>
      <family val="2"/>
    </font>
    <font>
      <b/>
      <sz val="9"/>
      <color rgb="FF0A0AAE"/>
      <name val="Arial Narrow"/>
      <family val="2"/>
    </font>
    <font>
      <b/>
      <sz val="9"/>
      <color theme="9" tint="-0.499984740745262"/>
      <name val="Arial Narrow"/>
      <family val="2"/>
    </font>
    <font>
      <b/>
      <sz val="10"/>
      <color rgb="FFC00000"/>
      <name val="Arial Narrow"/>
      <family val="2"/>
    </font>
    <font>
      <b/>
      <sz val="8"/>
      <color theme="1"/>
      <name val="Arial Narrow"/>
      <family val="2"/>
    </font>
    <font>
      <b/>
      <sz val="16"/>
      <color theme="9" tint="0.39997558519241921"/>
      <name val="Arial"/>
      <family val="2"/>
    </font>
    <font>
      <b/>
      <sz val="14"/>
      <color theme="5" tint="0.59999389629810485"/>
      <name val="Arial"/>
      <family val="2"/>
    </font>
    <font>
      <b/>
      <i/>
      <sz val="9"/>
      <color rgb="FF7030A0"/>
      <name val="Arial"/>
      <family val="2"/>
    </font>
    <font>
      <b/>
      <sz val="14"/>
      <color rgb="FF0A0AAE"/>
      <name val="Arial"/>
      <family val="2"/>
    </font>
    <font>
      <b/>
      <sz val="12"/>
      <color theme="7" tint="0.59999389629810485"/>
      <name val="Arial"/>
      <family val="2"/>
    </font>
    <font>
      <b/>
      <sz val="14"/>
      <color theme="1"/>
      <name val="Arial"/>
      <family val="2"/>
    </font>
    <font>
      <b/>
      <sz val="16"/>
      <color rgb="FF0A0AAE"/>
      <name val="Arial"/>
      <family val="2"/>
    </font>
    <font>
      <b/>
      <i/>
      <sz val="10"/>
      <color rgb="FFC00000"/>
      <name val="Arial"/>
      <family val="2"/>
    </font>
    <font>
      <b/>
      <i/>
      <sz val="9"/>
      <color rgb="FFC00000"/>
      <name val="Arial"/>
      <family val="2"/>
    </font>
    <font>
      <b/>
      <sz val="12"/>
      <color rgb="FFFF0000"/>
      <name val="Arial"/>
      <family val="2"/>
    </font>
    <font>
      <b/>
      <sz val="10"/>
      <color theme="1"/>
      <name val="Arial"/>
      <family val="2"/>
    </font>
    <font>
      <b/>
      <sz val="11"/>
      <color theme="1"/>
      <name val="Calibri"/>
      <family val="2"/>
      <scheme val="minor"/>
    </font>
    <font>
      <sz val="11"/>
      <color rgb="FF0A0AAE"/>
      <name val="Calibri"/>
      <family val="2"/>
      <scheme val="minor"/>
    </font>
    <font>
      <sz val="11"/>
      <color theme="1"/>
      <name val="Arial"/>
      <family val="2"/>
    </font>
    <font>
      <sz val="11"/>
      <color rgb="FF222222"/>
      <name val="Calibri"/>
      <family val="2"/>
      <scheme val="minor"/>
    </font>
    <font>
      <b/>
      <i/>
      <u/>
      <sz val="11"/>
      <color rgb="FFC00000"/>
      <name val="Calibri"/>
      <family val="2"/>
      <scheme val="minor"/>
    </font>
    <font>
      <sz val="11"/>
      <color rgb="FFC00000"/>
      <name val="Calibri"/>
      <family val="2"/>
      <scheme val="minor"/>
    </font>
    <font>
      <b/>
      <sz val="10"/>
      <color theme="1"/>
      <name val="Lucida Console"/>
      <family val="3"/>
    </font>
    <font>
      <b/>
      <i/>
      <sz val="9"/>
      <color theme="9" tint="-0.499984740745262"/>
      <name val="Arial"/>
      <family val="2"/>
    </font>
    <font>
      <b/>
      <sz val="9"/>
      <color theme="1"/>
      <name val="High Tower Text"/>
      <family val="1"/>
    </font>
    <font>
      <b/>
      <sz val="9"/>
      <color theme="1"/>
      <name val="Lucida Console"/>
      <family val="3"/>
    </font>
    <font>
      <sz val="10"/>
      <color theme="1"/>
      <name val="Arial Narrow"/>
      <family val="2"/>
    </font>
    <font>
      <sz val="10"/>
      <color theme="1"/>
      <name val="Arial"/>
      <family val="2"/>
    </font>
    <font>
      <sz val="8"/>
      <color theme="1"/>
      <name val="Arial"/>
      <family val="2"/>
    </font>
    <font>
      <sz val="8"/>
      <color theme="0" tint="-4.9989318521683403E-2"/>
      <name val="Arial"/>
      <family val="2"/>
    </font>
    <font>
      <b/>
      <sz val="8"/>
      <color theme="1"/>
      <name val="Arial"/>
      <family val="2"/>
    </font>
    <font>
      <sz val="9"/>
      <color theme="1"/>
      <name val="Arial"/>
      <family val="2"/>
    </font>
    <font>
      <b/>
      <u/>
      <sz val="10"/>
      <color theme="1"/>
      <name val="Arial"/>
      <family val="2"/>
    </font>
    <font>
      <i/>
      <sz val="10"/>
      <color theme="1"/>
      <name val="Arial"/>
      <family val="2"/>
    </font>
    <font>
      <i/>
      <sz val="9"/>
      <color theme="1"/>
      <name val="Arial"/>
      <family val="2"/>
    </font>
    <font>
      <sz val="9"/>
      <color theme="9" tint="-0.499984740745262"/>
      <name val="Arial"/>
      <family val="2"/>
    </font>
    <font>
      <sz val="9"/>
      <name val="Arial"/>
      <family val="2"/>
    </font>
    <font>
      <sz val="8"/>
      <color theme="1"/>
      <name val="Arial Narrow"/>
      <family val="2"/>
    </font>
    <font>
      <b/>
      <u/>
      <sz val="9"/>
      <color theme="1"/>
      <name val="Arial"/>
      <family val="2"/>
    </font>
    <font>
      <b/>
      <sz val="9"/>
      <color theme="1"/>
      <name val="Arial"/>
      <family val="2"/>
    </font>
    <font>
      <b/>
      <sz val="11"/>
      <color theme="1"/>
      <name val="Arial"/>
      <family val="2"/>
    </font>
    <font>
      <sz val="10"/>
      <color theme="9" tint="-0.499984740745262"/>
      <name val="Arial"/>
      <family val="2"/>
    </font>
    <font>
      <i/>
      <u/>
      <sz val="10"/>
      <color theme="1"/>
      <name val="Arial"/>
      <family val="2"/>
    </font>
    <font>
      <b/>
      <i/>
      <sz val="9"/>
      <color theme="1"/>
      <name val="Arial"/>
      <family val="2"/>
    </font>
    <font>
      <b/>
      <sz val="9"/>
      <color theme="8" tint="0.79998168889431442"/>
      <name val="Arial"/>
      <family val="2"/>
    </font>
    <font>
      <i/>
      <sz val="8"/>
      <color theme="1"/>
      <name val="Arial"/>
      <family val="2"/>
    </font>
    <font>
      <sz val="9"/>
      <color rgb="FF00B0F0"/>
      <name val="Arial"/>
      <family val="2"/>
    </font>
    <font>
      <sz val="9"/>
      <color theme="1"/>
      <name val="Arial Narrow"/>
      <family val="2"/>
    </font>
    <font>
      <b/>
      <sz val="8"/>
      <color indexed="81"/>
      <name val="Tahoma"/>
      <family val="2"/>
    </font>
    <font>
      <sz val="8"/>
      <color indexed="81"/>
      <name val="Tahoma"/>
      <family val="2"/>
    </font>
    <font>
      <b/>
      <sz val="11"/>
      <color rgb="FFC00000"/>
      <name val="Calibri"/>
      <family val="2"/>
      <scheme val="minor"/>
    </font>
    <font>
      <sz val="10"/>
      <color rgb="FFC00000"/>
      <name val="Arial"/>
      <family val="2"/>
    </font>
    <font>
      <sz val="10"/>
      <name val="Arial"/>
      <family val="2"/>
    </font>
    <font>
      <sz val="9"/>
      <color rgb="FF0000FF"/>
      <name val="Arial"/>
      <family val="2"/>
    </font>
    <font>
      <sz val="9"/>
      <color rgb="FFC00000"/>
      <name val="Arial"/>
      <family val="2"/>
    </font>
    <font>
      <b/>
      <sz val="10"/>
      <color rgb="FF0000FF"/>
      <name val="Arial"/>
      <family val="2"/>
    </font>
    <font>
      <b/>
      <sz val="9"/>
      <color rgb="FF0000FF"/>
      <name val="Arial"/>
      <family val="2"/>
    </font>
    <font>
      <sz val="8"/>
      <name val="Arial"/>
      <family val="2"/>
    </font>
    <font>
      <sz val="9"/>
      <color theme="9" tint="-0.249977111117893"/>
      <name val="Arial"/>
      <family val="2"/>
    </font>
    <font>
      <b/>
      <sz val="10"/>
      <name val="Arial"/>
      <family val="2"/>
    </font>
    <font>
      <sz val="9"/>
      <color theme="8" tint="-0.249977111117893"/>
      <name val="Arial"/>
      <family val="2"/>
    </font>
    <font>
      <b/>
      <sz val="10"/>
      <color theme="4" tint="-0.249977111117893"/>
      <name val="Arial"/>
      <family val="2"/>
    </font>
    <font>
      <b/>
      <sz val="10"/>
      <color indexed="12"/>
      <name val="Arial"/>
      <family val="2"/>
    </font>
    <font>
      <b/>
      <sz val="9"/>
      <color theme="9" tint="-0.249977111117893"/>
      <name val="Arial"/>
      <family val="2"/>
    </font>
    <font>
      <sz val="10"/>
      <color indexed="12"/>
      <name val="Arial"/>
      <family val="2"/>
    </font>
    <font>
      <b/>
      <sz val="10"/>
      <color rgb="FF00B050"/>
      <name val="Arial"/>
      <family val="2"/>
    </font>
    <font>
      <b/>
      <u/>
      <sz val="11"/>
      <color indexed="10"/>
      <name val="Arial"/>
      <family val="2"/>
    </font>
    <font>
      <i/>
      <sz val="10"/>
      <name val="Arial"/>
      <family val="2"/>
    </font>
    <font>
      <b/>
      <sz val="10"/>
      <color rgb="FFAA1695"/>
      <name val="Arial"/>
      <family val="2"/>
    </font>
    <font>
      <b/>
      <sz val="9"/>
      <color theme="5" tint="-0.249977111117893"/>
      <name val="Arial"/>
      <family val="2"/>
    </font>
    <font>
      <sz val="9"/>
      <color rgb="FF3E3E3E"/>
      <name val="Arial"/>
      <family val="2"/>
    </font>
    <font>
      <i/>
      <sz val="9"/>
      <color rgb="FF3E3E3E"/>
      <name val="Arial"/>
      <family val="2"/>
    </font>
    <font>
      <sz val="9"/>
      <color rgb="FF3E3E3E"/>
      <name val="Times New Roman"/>
      <family val="1"/>
    </font>
    <font>
      <i/>
      <sz val="8"/>
      <color rgb="FF3E3E3E"/>
      <name val="Times New Roman"/>
      <family val="1"/>
    </font>
    <font>
      <sz val="8"/>
      <color rgb="FF3E3E3E"/>
      <name val="Times New Roman"/>
      <family val="1"/>
    </font>
    <font>
      <b/>
      <sz val="10"/>
      <color theme="5" tint="-0.249977111117893"/>
      <name val="Arial"/>
      <family val="2"/>
    </font>
    <font>
      <sz val="10"/>
      <color theme="1"/>
      <name val="Calibri"/>
      <family val="2"/>
      <scheme val="minor"/>
    </font>
    <font>
      <sz val="9"/>
      <color rgb="FF0A0AAE"/>
      <name val="Arial"/>
      <family val="2"/>
    </font>
    <font>
      <i/>
      <sz val="8"/>
      <color rgb="FF0A0AAE"/>
      <name val="Arial"/>
      <family val="2"/>
    </font>
    <font>
      <b/>
      <sz val="11"/>
      <color rgb="FF0A0AAE"/>
      <name val="Calibri"/>
      <family val="2"/>
      <scheme val="minor"/>
    </font>
    <font>
      <b/>
      <sz val="11"/>
      <color rgb="FF00B050"/>
      <name val="Calibri"/>
      <family val="2"/>
      <scheme val="minor"/>
    </font>
    <font>
      <b/>
      <i/>
      <sz val="11"/>
      <color rgb="FFC00000"/>
      <name val="Calibri"/>
      <family val="2"/>
      <scheme val="minor"/>
    </font>
    <font>
      <sz val="10"/>
      <color rgb="FF0A0AAE"/>
      <name val="Arial"/>
      <family val="2"/>
    </font>
    <font>
      <i/>
      <sz val="9"/>
      <name val="Arial"/>
      <family val="2"/>
    </font>
    <font>
      <i/>
      <sz val="9"/>
      <color rgb="FF0A0AAE"/>
      <name val="Arial"/>
      <family val="2"/>
    </font>
    <font>
      <sz val="10"/>
      <color theme="0"/>
      <name val="Arial"/>
      <family val="2"/>
    </font>
    <font>
      <b/>
      <sz val="10"/>
      <color theme="0"/>
      <name val="Arial"/>
      <family val="2"/>
    </font>
  </fonts>
  <fills count="1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4F81BD"/>
        <bgColor indexed="64"/>
      </patternFill>
    </fill>
    <fill>
      <patternFill patternType="solid">
        <fgColor rgb="FFFCD5B5"/>
        <bgColor indexed="64"/>
      </patternFill>
    </fill>
    <fill>
      <patternFill patternType="solid">
        <fgColor rgb="FFE9EDF4"/>
        <bgColor indexed="64"/>
      </patternFill>
    </fill>
    <fill>
      <patternFill patternType="solid">
        <fgColor rgb="FFD0D8E8"/>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indexed="42"/>
        <bgColor indexed="64"/>
      </patternFill>
    </fill>
    <fill>
      <patternFill patternType="solid">
        <fgColor indexed="4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diagonal/>
    </border>
    <border>
      <left/>
      <right/>
      <top style="medium">
        <color indexed="64"/>
      </top>
      <bottom/>
      <diagonal/>
    </border>
    <border>
      <left/>
      <right/>
      <top/>
      <bottom style="medium">
        <color indexed="64"/>
      </bottom>
      <diagonal/>
    </border>
    <border>
      <left style="medium">
        <color indexed="64"/>
      </left>
      <right style="medium">
        <color rgb="FFFFFFFF"/>
      </right>
      <top/>
      <bottom/>
      <diagonal/>
    </border>
    <border>
      <left style="medium">
        <color rgb="FFFFFFFF"/>
      </left>
      <right style="medium">
        <color indexed="64"/>
      </right>
      <top/>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FFFFFF"/>
      </right>
      <top style="medium">
        <color rgb="FFFFFFFF"/>
      </top>
      <bottom style="thin">
        <color indexed="64"/>
      </bottom>
      <diagonal/>
    </border>
    <border>
      <left style="medium">
        <color rgb="FFFFFFFF"/>
      </left>
      <right style="medium">
        <color rgb="FFFFFFFF"/>
      </right>
      <top style="medium">
        <color rgb="FFFFFFFF"/>
      </top>
      <bottom style="thin">
        <color indexed="64"/>
      </bottom>
      <diagonal/>
    </border>
    <border>
      <left style="medium">
        <color rgb="FFFFFFFF"/>
      </left>
      <right style="medium">
        <color indexed="64"/>
      </right>
      <top style="medium">
        <color rgb="FFFFFFFF"/>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s>
  <cellStyleXfs count="6">
    <xf numFmtId="0" fontId="0" fillId="0" borderId="0"/>
    <xf numFmtId="0" fontId="2" fillId="0" borderId="0"/>
    <xf numFmtId="164" fontId="3" fillId="0" borderId="0" applyFont="0" applyFill="0" applyBorder="0" applyAlignment="0" applyProtection="0"/>
    <xf numFmtId="0" fontId="2" fillId="0" borderId="0"/>
    <xf numFmtId="0" fontId="75" fillId="0" borderId="0"/>
    <xf numFmtId="9" fontId="2" fillId="0" borderId="0" applyFont="0" applyFill="0" applyBorder="0" applyAlignment="0" applyProtection="0"/>
  </cellStyleXfs>
  <cellXfs count="468">
    <xf numFmtId="0" fontId="0" fillId="0" borderId="0" xfId="0"/>
    <xf numFmtId="0" fontId="5" fillId="0" borderId="0" xfId="0" applyFont="1"/>
    <xf numFmtId="0" fontId="1" fillId="0" borderId="0" xfId="0" applyFont="1"/>
    <xf numFmtId="3" fontId="13" fillId="13" borderId="11" xfId="0" applyNumberFormat="1" applyFont="1" applyFill="1" applyBorder="1" applyAlignment="1">
      <alignment horizontal="center" vertical="center" wrapText="1" readingOrder="1"/>
    </xf>
    <xf numFmtId="0" fontId="13" fillId="13" borderId="11" xfId="0" applyFont="1" applyFill="1" applyBorder="1" applyAlignment="1">
      <alignment horizontal="center" vertical="center" wrapText="1" readingOrder="1"/>
    </xf>
    <xf numFmtId="0" fontId="14" fillId="13" borderId="11" xfId="0" applyFont="1" applyFill="1" applyBorder="1" applyAlignment="1">
      <alignment horizontal="center" vertical="top" wrapText="1"/>
    </xf>
    <xf numFmtId="3" fontId="15" fillId="14" borderId="11" xfId="0" applyNumberFormat="1" applyFont="1" applyFill="1" applyBorder="1" applyAlignment="1">
      <alignment horizontal="center" vertical="center" wrapText="1" readingOrder="1"/>
    </xf>
    <xf numFmtId="0" fontId="15" fillId="14" borderId="11" xfId="0" applyFont="1" applyFill="1" applyBorder="1" applyAlignment="1">
      <alignment horizontal="center" vertical="center" wrapText="1" readingOrder="1"/>
    </xf>
    <xf numFmtId="0" fontId="14" fillId="14" borderId="11" xfId="0" applyFont="1" applyFill="1" applyBorder="1" applyAlignment="1">
      <alignment horizontal="center" vertical="top" wrapText="1"/>
    </xf>
    <xf numFmtId="3" fontId="16" fillId="13" borderId="11" xfId="0" applyNumberFormat="1"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3" fontId="17" fillId="13" borderId="11" xfId="0" applyNumberFormat="1" applyFont="1" applyFill="1" applyBorder="1" applyAlignment="1">
      <alignment horizontal="center" vertical="center" wrapText="1" readingOrder="1"/>
    </xf>
    <xf numFmtId="0" fontId="17" fillId="13" borderId="11" xfId="0" applyFont="1" applyFill="1" applyBorder="1" applyAlignment="1">
      <alignment horizontal="center" vertical="center" wrapText="1" readingOrder="1"/>
    </xf>
    <xf numFmtId="3" fontId="18" fillId="14" borderId="11" xfId="0" applyNumberFormat="1" applyFont="1" applyFill="1" applyBorder="1" applyAlignment="1">
      <alignment horizontal="center" vertical="center" wrapText="1" readingOrder="1"/>
    </xf>
    <xf numFmtId="0" fontId="18" fillId="14" borderId="11" xfId="0" applyFont="1" applyFill="1" applyBorder="1" applyAlignment="1">
      <alignment horizontal="center" vertical="center" wrapText="1" readingOrder="1"/>
    </xf>
    <xf numFmtId="0" fontId="8" fillId="12" borderId="12" xfId="0" applyFont="1" applyFill="1" applyBorder="1" applyAlignment="1">
      <alignment horizontal="center" vertical="center" wrapText="1" readingOrder="1"/>
    </xf>
    <xf numFmtId="0" fontId="9" fillId="12" borderId="12"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30" fillId="12" borderId="12" xfId="0" applyFont="1" applyFill="1" applyBorder="1" applyAlignment="1">
      <alignment horizontal="center" vertical="center" wrapText="1" readingOrder="1"/>
    </xf>
    <xf numFmtId="0" fontId="14" fillId="6" borderId="11" xfId="0" applyFont="1" applyFill="1" applyBorder="1" applyAlignment="1">
      <alignment horizontal="center" vertical="top" wrapText="1"/>
    </xf>
    <xf numFmtId="10" fontId="5" fillId="0" borderId="0" xfId="0" applyNumberFormat="1" applyFont="1"/>
    <xf numFmtId="3" fontId="31" fillId="6" borderId="11" xfId="0" applyNumberFormat="1" applyFont="1" applyFill="1" applyBorder="1" applyAlignment="1">
      <alignment horizontal="center" vertical="center" wrapText="1" readingOrder="1"/>
    </xf>
    <xf numFmtId="0" fontId="31" fillId="6" borderId="11" xfId="0" applyFont="1" applyFill="1" applyBorder="1" applyAlignment="1">
      <alignment horizontal="center" vertical="center" wrapText="1" readingOrder="1"/>
    </xf>
    <xf numFmtId="0" fontId="35" fillId="16" borderId="1" xfId="0" applyFont="1" applyFill="1" applyBorder="1" applyAlignment="1">
      <alignment horizontal="center" vertical="center" wrapText="1" readingOrder="1"/>
    </xf>
    <xf numFmtId="0" fontId="36" fillId="16" borderId="1" xfId="0" applyFont="1" applyFill="1" applyBorder="1" applyAlignment="1">
      <alignment horizontal="center" vertical="center" wrapText="1" readingOrder="1"/>
    </xf>
    <xf numFmtId="3" fontId="15" fillId="14" borderId="1" xfId="0" applyNumberFormat="1" applyFont="1" applyFill="1" applyBorder="1" applyAlignment="1">
      <alignment horizontal="center" vertical="center" wrapText="1" readingOrder="1"/>
    </xf>
    <xf numFmtId="0" fontId="15" fillId="14" borderId="1" xfId="0" applyFont="1" applyFill="1" applyBorder="1" applyAlignment="1">
      <alignment horizontal="center" vertical="center" wrapText="1" readingOrder="1"/>
    </xf>
    <xf numFmtId="3" fontId="31" fillId="6" borderId="1" xfId="0" applyNumberFormat="1" applyFont="1" applyFill="1" applyBorder="1" applyAlignment="1">
      <alignment horizontal="center" vertical="center" wrapText="1" readingOrder="1"/>
    </xf>
    <xf numFmtId="0" fontId="31" fillId="6" borderId="1" xfId="0" applyFont="1" applyFill="1" applyBorder="1" applyAlignment="1">
      <alignment horizontal="center" vertical="center" wrapText="1" readingOrder="1"/>
    </xf>
    <xf numFmtId="0" fontId="14" fillId="6" borderId="1" xfId="0" applyFont="1" applyFill="1" applyBorder="1" applyAlignment="1">
      <alignment horizontal="center" vertical="top" wrapText="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3" fontId="31" fillId="6" borderId="17" xfId="0" applyNumberFormat="1" applyFont="1" applyFill="1" applyBorder="1" applyAlignment="1">
      <alignment horizontal="center" vertical="center" wrapText="1" readingOrder="1"/>
    </xf>
    <xf numFmtId="0" fontId="14" fillId="6" borderId="18" xfId="0" applyFont="1" applyFill="1" applyBorder="1" applyAlignment="1">
      <alignment horizontal="center" vertical="top" wrapText="1"/>
    </xf>
    <xf numFmtId="3" fontId="31" fillId="6" borderId="18" xfId="0" applyNumberFormat="1" applyFont="1" applyFill="1" applyBorder="1" applyAlignment="1">
      <alignment horizontal="center" vertical="center" wrapText="1" readingOrder="1"/>
    </xf>
    <xf numFmtId="0" fontId="35" fillId="16" borderId="19" xfId="0" applyFont="1" applyFill="1" applyBorder="1" applyAlignment="1">
      <alignment horizontal="center" vertical="center" wrapText="1" readingOrder="1"/>
    </xf>
    <xf numFmtId="0" fontId="35" fillId="16" borderId="20" xfId="0" applyFont="1" applyFill="1" applyBorder="1" applyAlignment="1">
      <alignment horizontal="center" vertical="center" wrapText="1" readingOrder="1"/>
    </xf>
    <xf numFmtId="3" fontId="15" fillId="14" borderId="19" xfId="0" applyNumberFormat="1" applyFont="1" applyFill="1" applyBorder="1" applyAlignment="1">
      <alignment horizontal="center" vertical="center" wrapText="1" readingOrder="1"/>
    </xf>
    <xf numFmtId="0" fontId="15" fillId="14" borderId="20" xfId="0" applyFont="1" applyFill="1" applyBorder="1" applyAlignment="1">
      <alignment horizontal="center" vertical="center" wrapText="1" readingOrder="1"/>
    </xf>
    <xf numFmtId="3" fontId="31" fillId="6" borderId="19" xfId="0" applyNumberFormat="1" applyFont="1" applyFill="1" applyBorder="1" applyAlignment="1">
      <alignment horizontal="center" vertical="center" wrapText="1" readingOrder="1"/>
    </xf>
    <xf numFmtId="0" fontId="14" fillId="6" borderId="20" xfId="0" applyFont="1" applyFill="1" applyBorder="1" applyAlignment="1">
      <alignment horizontal="center" vertical="top" wrapText="1"/>
    </xf>
    <xf numFmtId="3" fontId="15" fillId="14" borderId="20" xfId="0" applyNumberFormat="1" applyFont="1" applyFill="1" applyBorder="1" applyAlignment="1">
      <alignment horizontal="center" vertical="center" wrapText="1" readingOrder="1"/>
    </xf>
    <xf numFmtId="3" fontId="31" fillId="6" borderId="20" xfId="0" applyNumberFormat="1" applyFont="1" applyFill="1" applyBorder="1" applyAlignment="1">
      <alignment horizontal="center" vertical="center" wrapText="1" readingOrder="1"/>
    </xf>
    <xf numFmtId="3" fontId="15" fillId="15" borderId="17" xfId="0" applyNumberFormat="1" applyFont="1" applyFill="1" applyBorder="1" applyAlignment="1">
      <alignment horizontal="center" vertical="center" wrapText="1" readingOrder="1"/>
    </xf>
    <xf numFmtId="3" fontId="15" fillId="15" borderId="11" xfId="0" applyNumberFormat="1" applyFont="1" applyFill="1" applyBorder="1" applyAlignment="1">
      <alignment horizontal="center" vertical="center" wrapText="1" readingOrder="1"/>
    </xf>
    <xf numFmtId="0" fontId="15" fillId="15" borderId="11" xfId="0" applyFont="1" applyFill="1" applyBorder="1" applyAlignment="1">
      <alignment horizontal="center" vertical="center" wrapText="1" readingOrder="1"/>
    </xf>
    <xf numFmtId="0" fontId="15" fillId="15" borderId="18" xfId="0" applyFont="1" applyFill="1" applyBorder="1" applyAlignment="1">
      <alignment horizontal="center" vertical="center" wrapText="1" readingOrder="1"/>
    </xf>
    <xf numFmtId="3" fontId="15" fillId="15" borderId="18" xfId="0" applyNumberFormat="1" applyFont="1" applyFill="1" applyBorder="1" applyAlignment="1">
      <alignment horizontal="center" vertical="center" wrapText="1" readingOrder="1"/>
    </xf>
    <xf numFmtId="3" fontId="15" fillId="4" borderId="11" xfId="0" applyNumberFormat="1" applyFont="1" applyFill="1" applyBorder="1" applyAlignment="1">
      <alignment horizontal="center" vertical="center" wrapText="1" readingOrder="1"/>
    </xf>
    <xf numFmtId="0" fontId="15" fillId="4" borderId="11" xfId="0" applyFont="1" applyFill="1" applyBorder="1" applyAlignment="1">
      <alignment horizontal="center" vertical="center" wrapText="1" readingOrder="1"/>
    </xf>
    <xf numFmtId="3" fontId="15" fillId="4" borderId="17" xfId="0" applyNumberFormat="1" applyFont="1" applyFill="1" applyBorder="1" applyAlignment="1">
      <alignment horizontal="center" vertical="center" wrapText="1" readingOrder="1"/>
    </xf>
    <xf numFmtId="0" fontId="15" fillId="4" borderId="18" xfId="0" applyFont="1" applyFill="1" applyBorder="1" applyAlignment="1">
      <alignment horizontal="center" vertical="center" wrapText="1" readingOrder="1"/>
    </xf>
    <xf numFmtId="3" fontId="15" fillId="4" borderId="18" xfId="0" applyNumberFormat="1" applyFont="1" applyFill="1" applyBorder="1" applyAlignment="1">
      <alignment horizontal="center" vertical="center" wrapText="1" readingOrder="1"/>
    </xf>
    <xf numFmtId="3" fontId="15" fillId="4" borderId="21" xfId="0" applyNumberFormat="1" applyFont="1" applyFill="1" applyBorder="1" applyAlignment="1">
      <alignment horizontal="center" vertical="center" wrapText="1" readingOrder="1"/>
    </xf>
    <xf numFmtId="3" fontId="15" fillId="4" borderId="22" xfId="0" applyNumberFormat="1" applyFont="1" applyFill="1" applyBorder="1" applyAlignment="1">
      <alignment horizontal="center" vertical="center" wrapText="1" readingOrder="1"/>
    </xf>
    <xf numFmtId="0" fontId="15" fillId="4" borderId="22" xfId="0" applyFont="1" applyFill="1" applyBorder="1" applyAlignment="1">
      <alignment horizontal="center" vertical="center" wrapText="1" readingOrder="1"/>
    </xf>
    <xf numFmtId="3" fontId="15" fillId="4" borderId="23" xfId="0" applyNumberFormat="1" applyFont="1" applyFill="1" applyBorder="1" applyAlignment="1">
      <alignment horizontal="center" vertical="center" wrapText="1" readingOrder="1"/>
    </xf>
    <xf numFmtId="3" fontId="15" fillId="15" borderId="21" xfId="0" applyNumberFormat="1" applyFont="1" applyFill="1" applyBorder="1" applyAlignment="1">
      <alignment horizontal="center" vertical="center" wrapText="1" readingOrder="1"/>
    </xf>
    <xf numFmtId="3" fontId="15" fillId="15" borderId="22" xfId="0" applyNumberFormat="1" applyFont="1" applyFill="1" applyBorder="1" applyAlignment="1">
      <alignment horizontal="center" vertical="center" wrapText="1" readingOrder="1"/>
    </xf>
    <xf numFmtId="0" fontId="15" fillId="15" borderId="22" xfId="0" applyFont="1" applyFill="1" applyBorder="1" applyAlignment="1">
      <alignment horizontal="center" vertical="center" wrapText="1" readingOrder="1"/>
    </xf>
    <xf numFmtId="3" fontId="15" fillId="15" borderId="23" xfId="0" applyNumberFormat="1" applyFont="1" applyFill="1" applyBorder="1" applyAlignment="1">
      <alignment horizontal="center" vertical="center" wrapText="1" readingOrder="1"/>
    </xf>
    <xf numFmtId="0" fontId="0" fillId="0" borderId="19" xfId="0" applyBorder="1" applyAlignment="1">
      <alignment horizontal="left"/>
    </xf>
    <xf numFmtId="0" fontId="0" fillId="0" borderId="1" xfId="0" applyBorder="1" applyAlignment="1">
      <alignment horizontal="center"/>
    </xf>
    <xf numFmtId="0" fontId="0" fillId="0" borderId="19" xfId="0" applyBorder="1" applyAlignment="1">
      <alignment horizontal="left" wrapText="1"/>
    </xf>
    <xf numFmtId="0" fontId="0" fillId="0" borderId="19" xfId="0" applyBorder="1" applyAlignment="1"/>
    <xf numFmtId="0" fontId="0" fillId="0" borderId="20" xfId="0" applyBorder="1" applyAlignment="1">
      <alignment horizontal="right"/>
    </xf>
    <xf numFmtId="3" fontId="0" fillId="0" borderId="20" xfId="0" applyNumberFormat="1" applyBorder="1" applyAlignment="1">
      <alignment horizontal="right"/>
    </xf>
    <xf numFmtId="0" fontId="43" fillId="0" borderId="31" xfId="0" applyFont="1" applyBorder="1" applyAlignment="1">
      <alignment horizontal="left"/>
    </xf>
    <xf numFmtId="1" fontId="0" fillId="0" borderId="20" xfId="0" applyNumberFormat="1" applyBorder="1" applyAlignment="1">
      <alignment horizontal="center"/>
    </xf>
    <xf numFmtId="0" fontId="0" fillId="0" borderId="36" xfId="0" applyBorder="1" applyAlignment="1">
      <alignment horizontal="left"/>
    </xf>
    <xf numFmtId="0" fontId="47" fillId="0" borderId="8" xfId="1" applyFont="1" applyBorder="1" applyAlignment="1">
      <alignment horizontal="center" vertical="center" wrapText="1"/>
    </xf>
    <xf numFmtId="0" fontId="47" fillId="0" borderId="42" xfId="1" applyFont="1" applyBorder="1" applyAlignment="1">
      <alignment horizontal="center" vertical="center" wrapText="1"/>
    </xf>
    <xf numFmtId="0" fontId="41" fillId="0" borderId="0" xfId="1" applyFont="1"/>
    <xf numFmtId="165" fontId="48" fillId="0" borderId="5" xfId="1" applyNumberFormat="1" applyFont="1" applyBorder="1" applyAlignment="1">
      <alignment horizontal="center"/>
    </xf>
    <xf numFmtId="1" fontId="49" fillId="0" borderId="4" xfId="1" applyNumberFormat="1" applyFont="1" applyBorder="1" applyAlignment="1">
      <alignment horizontal="center" vertical="center" wrapText="1"/>
    </xf>
    <xf numFmtId="1" fontId="49" fillId="0" borderId="43" xfId="1" applyNumberFormat="1" applyFont="1" applyBorder="1" applyAlignment="1">
      <alignment horizontal="center" vertical="center" wrapText="1"/>
    </xf>
    <xf numFmtId="0" fontId="50" fillId="0" borderId="0" xfId="1" applyFont="1"/>
    <xf numFmtId="1" fontId="51" fillId="0" borderId="8" xfId="1" applyNumberFormat="1" applyFont="1" applyBorder="1" applyAlignment="1" applyProtection="1">
      <alignment shrinkToFit="1"/>
    </xf>
    <xf numFmtId="0" fontId="38" fillId="0" borderId="13" xfId="1" applyFont="1" applyBorder="1"/>
    <xf numFmtId="0" fontId="50" fillId="0" borderId="13" xfId="1" applyFont="1" applyBorder="1"/>
    <xf numFmtId="0" fontId="52" fillId="0" borderId="0" xfId="1" applyFont="1" applyBorder="1" applyAlignment="1">
      <alignment horizontal="center" vertical="top"/>
    </xf>
    <xf numFmtId="0" fontId="53" fillId="0" borderId="42" xfId="1" applyFont="1" applyBorder="1" applyAlignment="1">
      <alignment horizontal="center"/>
    </xf>
    <xf numFmtId="1" fontId="38" fillId="0" borderId="44" xfId="1" applyNumberFormat="1" applyFont="1" applyBorder="1"/>
    <xf numFmtId="0" fontId="50" fillId="0" borderId="0" xfId="1" applyFont="1" applyBorder="1"/>
    <xf numFmtId="0" fontId="51" fillId="0" borderId="2" xfId="1" applyFont="1" applyBorder="1" applyAlignment="1">
      <alignment shrinkToFit="1"/>
    </xf>
    <xf numFmtId="0" fontId="51" fillId="0" borderId="0" xfId="1" applyFont="1" applyBorder="1"/>
    <xf numFmtId="0" fontId="54" fillId="0" borderId="0" xfId="1" applyFont="1" applyBorder="1" applyAlignment="1">
      <alignment horizontal="left"/>
    </xf>
    <xf numFmtId="1" fontId="50" fillId="17" borderId="0" xfId="1" applyNumberFormat="1" applyFont="1" applyFill="1" applyBorder="1"/>
    <xf numFmtId="1" fontId="50" fillId="17" borderId="6" xfId="1" applyNumberFormat="1" applyFont="1" applyFill="1" applyBorder="1"/>
    <xf numFmtId="0" fontId="55" fillId="0" borderId="0" xfId="1" applyFont="1" applyBorder="1"/>
    <xf numFmtId="0" fontId="56" fillId="0" borderId="0" xfId="1" applyFont="1" applyBorder="1" applyAlignment="1"/>
    <xf numFmtId="1" fontId="50" fillId="0" borderId="35" xfId="1" applyNumberFormat="1" applyFont="1" applyFill="1" applyBorder="1"/>
    <xf numFmtId="0" fontId="57" fillId="0" borderId="0" xfId="1" applyFont="1" applyBorder="1" applyAlignment="1"/>
    <xf numFmtId="0" fontId="58" fillId="0" borderId="0" xfId="1" applyFont="1" applyBorder="1" applyAlignment="1">
      <alignment horizontal="left"/>
    </xf>
    <xf numFmtId="0" fontId="56" fillId="0" borderId="0" xfId="1" applyFont="1" applyBorder="1" applyAlignment="1">
      <alignment horizontal="right"/>
    </xf>
    <xf numFmtId="1" fontId="50" fillId="0" borderId="0" xfId="1" applyNumberFormat="1" applyFont="1" applyFill="1" applyBorder="1"/>
    <xf numFmtId="0" fontId="58" fillId="0" borderId="0" xfId="1" applyFont="1" applyBorder="1"/>
    <xf numFmtId="0" fontId="38" fillId="0" borderId="0" xfId="1" applyFont="1" applyFill="1" applyBorder="1"/>
    <xf numFmtId="0" fontId="50" fillId="0" borderId="0" xfId="1" applyFont="1" applyFill="1" applyBorder="1"/>
    <xf numFmtId="0" fontId="59" fillId="0" borderId="0" xfId="1" applyFont="1" applyBorder="1" applyAlignment="1">
      <alignment horizontal="left"/>
    </xf>
    <xf numFmtId="0" fontId="50" fillId="0" borderId="0" xfId="1" applyFont="1" applyBorder="1" applyAlignment="1">
      <alignment horizontal="left"/>
    </xf>
    <xf numFmtId="0" fontId="50" fillId="0" borderId="0" xfId="1" applyFont="1" applyBorder="1" applyAlignment="1">
      <alignment horizontal="center"/>
    </xf>
    <xf numFmtId="0" fontId="50" fillId="18" borderId="0" xfId="1" applyFont="1" applyFill="1" applyBorder="1"/>
    <xf numFmtId="0" fontId="59" fillId="0" borderId="0" xfId="1" applyFont="1" applyBorder="1" applyAlignment="1"/>
    <xf numFmtId="0" fontId="50" fillId="18" borderId="6" xfId="1" applyFont="1" applyFill="1" applyBorder="1"/>
    <xf numFmtId="0" fontId="54" fillId="0" borderId="0" xfId="1" applyFont="1" applyBorder="1"/>
    <xf numFmtId="0" fontId="54" fillId="0" borderId="0" xfId="1" applyFont="1" applyBorder="1" applyAlignment="1">
      <alignment horizontal="right"/>
    </xf>
    <xf numFmtId="0" fontId="50" fillId="0" borderId="44" xfId="1" applyFont="1" applyBorder="1"/>
    <xf numFmtId="0" fontId="58" fillId="0" borderId="0" xfId="1" applyFont="1" applyBorder="1" applyAlignment="1">
      <alignment horizontal="right"/>
    </xf>
    <xf numFmtId="0" fontId="60" fillId="0" borderId="0" xfId="1" applyFont="1" applyFill="1" applyBorder="1"/>
    <xf numFmtId="1" fontId="38" fillId="0" borderId="44" xfId="1" applyNumberFormat="1" applyFont="1" applyFill="1" applyBorder="1"/>
    <xf numFmtId="0" fontId="38" fillId="0" borderId="0" xfId="1" applyFont="1" applyBorder="1"/>
    <xf numFmtId="0" fontId="60" fillId="0" borderId="0" xfId="1" applyFont="1" applyBorder="1" applyAlignment="1">
      <alignment horizontal="center"/>
    </xf>
    <xf numFmtId="0" fontId="54" fillId="0" borderId="0" xfId="1" applyFont="1" applyBorder="1" applyAlignment="1">
      <alignment horizontal="left" indent="2"/>
    </xf>
    <xf numFmtId="1" fontId="50" fillId="18" borderId="0" xfId="1" applyNumberFormat="1" applyFont="1" applyFill="1" applyBorder="1"/>
    <xf numFmtId="1" fontId="50" fillId="18" borderId="6" xfId="1" applyNumberFormat="1" applyFont="1" applyFill="1" applyBorder="1"/>
    <xf numFmtId="1" fontId="50" fillId="0" borderId="0" xfId="1" applyNumberFormat="1" applyFont="1" applyBorder="1"/>
    <xf numFmtId="0" fontId="51" fillId="0" borderId="0" xfId="1" applyFont="1" applyBorder="1" applyAlignment="1"/>
    <xf numFmtId="0" fontId="51" fillId="0" borderId="0" xfId="1" applyFont="1" applyBorder="1" applyAlignment="1">
      <alignment horizontal="left"/>
    </xf>
    <xf numFmtId="1" fontId="50" fillId="0" borderId="6" xfId="1" applyNumberFormat="1" applyFont="1" applyFill="1" applyBorder="1"/>
    <xf numFmtId="0" fontId="61" fillId="0" borderId="0" xfId="1" applyFont="1" applyBorder="1"/>
    <xf numFmtId="1" fontId="38" fillId="0" borderId="0" xfId="1" applyNumberFormat="1" applyFont="1" applyBorder="1"/>
    <xf numFmtId="1" fontId="63" fillId="0" borderId="45" xfId="1" applyNumberFormat="1" applyFont="1" applyBorder="1"/>
    <xf numFmtId="0" fontId="64" fillId="0" borderId="0" xfId="1" applyFont="1" applyBorder="1"/>
    <xf numFmtId="0" fontId="65" fillId="0" borderId="0" xfId="1" applyFont="1" applyBorder="1"/>
    <xf numFmtId="0" fontId="62" fillId="0" borderId="0" xfId="1" applyFont="1" applyBorder="1"/>
    <xf numFmtId="0" fontId="51" fillId="0" borderId="0" xfId="1" applyFont="1" applyBorder="1" applyAlignment="1">
      <alignment horizontal="left" indent="1"/>
    </xf>
    <xf numFmtId="0" fontId="38" fillId="0" borderId="27" xfId="1" applyFont="1" applyBorder="1"/>
    <xf numFmtId="0" fontId="54" fillId="0" borderId="0" xfId="1" applyFont="1" applyBorder="1" applyAlignment="1">
      <alignment horizontal="center"/>
    </xf>
    <xf numFmtId="0" fontId="54" fillId="0" borderId="0" xfId="1" applyFont="1"/>
    <xf numFmtId="0" fontId="54" fillId="0" borderId="0" xfId="1" applyFont="1" applyAlignment="1">
      <alignment horizontal="center"/>
    </xf>
    <xf numFmtId="1" fontId="38" fillId="0" borderId="44" xfId="1" applyNumberFormat="1" applyFont="1" applyBorder="1" applyAlignment="1">
      <alignment horizontal="right"/>
    </xf>
    <xf numFmtId="3" fontId="54" fillId="0" borderId="0" xfId="1" applyNumberFormat="1" applyFont="1" applyAlignment="1">
      <alignment horizontal="center"/>
    </xf>
    <xf numFmtId="0" fontId="38" fillId="0" borderId="0" xfId="1" applyFont="1" applyBorder="1" applyAlignment="1">
      <alignment vertical="center"/>
    </xf>
    <xf numFmtId="1" fontId="60" fillId="0" borderId="0" xfId="1" applyNumberFormat="1" applyFont="1" applyBorder="1" applyAlignment="1">
      <alignment horizontal="left"/>
    </xf>
    <xf numFmtId="0" fontId="60" fillId="0" borderId="0" xfId="1" applyFont="1" applyFill="1" applyBorder="1" applyAlignment="1">
      <alignment horizontal="left"/>
    </xf>
    <xf numFmtId="0" fontId="51" fillId="0" borderId="0" xfId="1" applyFont="1" applyBorder="1" applyAlignment="1">
      <alignment horizontal="right"/>
    </xf>
    <xf numFmtId="1" fontId="63" fillId="0" borderId="46" xfId="1" applyNumberFormat="1" applyFont="1" applyBorder="1"/>
    <xf numFmtId="0" fontId="54" fillId="0" borderId="0" xfId="1" applyFont="1" applyAlignment="1">
      <alignment horizontal="center" vertical="center"/>
    </xf>
    <xf numFmtId="3" fontId="54" fillId="0" borderId="0" xfId="1" applyNumberFormat="1" applyFont="1" applyAlignment="1">
      <alignment horizontal="center" vertical="center"/>
    </xf>
    <xf numFmtId="0" fontId="62" fillId="0" borderId="0" xfId="1" applyFont="1" applyBorder="1" applyAlignment="1">
      <alignment horizontal="right"/>
    </xf>
    <xf numFmtId="0" fontId="62" fillId="0" borderId="0" xfId="1" applyFont="1" applyBorder="1" applyAlignment="1">
      <alignment horizontal="center"/>
    </xf>
    <xf numFmtId="9" fontId="54" fillId="0" borderId="0" xfId="1" applyNumberFormat="1" applyFont="1" applyAlignment="1">
      <alignment horizontal="center"/>
    </xf>
    <xf numFmtId="1" fontId="58" fillId="0" borderId="0" xfId="1" applyNumberFormat="1" applyFont="1" applyFill="1" applyBorder="1" applyAlignment="1">
      <alignment horizontal="center" shrinkToFit="1"/>
    </xf>
    <xf numFmtId="1" fontId="66" fillId="0" borderId="0" xfId="1" applyNumberFormat="1" applyFont="1" applyBorder="1" applyAlignment="1">
      <alignment horizontal="right" indent="1"/>
    </xf>
    <xf numFmtId="0" fontId="54" fillId="0" borderId="0" xfId="1" applyFont="1" applyAlignment="1">
      <alignment horizontal="right"/>
    </xf>
    <xf numFmtId="1" fontId="67" fillId="0" borderId="0" xfId="1" applyNumberFormat="1" applyFont="1" applyBorder="1" applyAlignment="1">
      <alignment horizontal="center"/>
    </xf>
    <xf numFmtId="9" fontId="54" fillId="0" borderId="0" xfId="1" applyNumberFormat="1" applyFont="1" applyBorder="1" applyAlignment="1">
      <alignment horizontal="center"/>
    </xf>
    <xf numFmtId="0" fontId="68" fillId="0" borderId="0" xfId="1" applyFont="1" applyBorder="1" applyAlignment="1">
      <alignment horizontal="right"/>
    </xf>
    <xf numFmtId="0" fontId="54" fillId="0" borderId="0" xfId="1" applyFont="1" applyBorder="1" applyAlignment="1"/>
    <xf numFmtId="0" fontId="50" fillId="0" borderId="0" xfId="1" applyFont="1" applyBorder="1" applyAlignment="1">
      <alignment horizontal="right"/>
    </xf>
    <xf numFmtId="1" fontId="50" fillId="0" borderId="43" xfId="1" applyNumberFormat="1" applyFont="1" applyBorder="1" applyAlignment="1">
      <alignment horizontal="right"/>
    </xf>
    <xf numFmtId="1" fontId="50" fillId="0" borderId="44" xfId="1" applyNumberFormat="1" applyFont="1" applyBorder="1" applyAlignment="1">
      <alignment horizontal="right"/>
    </xf>
    <xf numFmtId="1" fontId="50" fillId="0" borderId="47" xfId="1" applyNumberFormat="1" applyFont="1" applyBorder="1" applyAlignment="1">
      <alignment horizontal="right"/>
    </xf>
    <xf numFmtId="0" fontId="60" fillId="0" borderId="0" xfId="1" applyFont="1" applyBorder="1" applyAlignment="1">
      <alignment horizontal="left"/>
    </xf>
    <xf numFmtId="1" fontId="50" fillId="17" borderId="47" xfId="1" applyNumberFormat="1" applyFont="1" applyFill="1" applyBorder="1" applyAlignment="1"/>
    <xf numFmtId="1" fontId="38" fillId="0" borderId="44" xfId="1" applyNumberFormat="1" applyFont="1" applyFill="1" applyBorder="1" applyAlignment="1"/>
    <xf numFmtId="1" fontId="69" fillId="0" borderId="0" xfId="1" applyNumberFormat="1" applyFont="1" applyBorder="1" applyAlignment="1">
      <alignment horizontal="center"/>
    </xf>
    <xf numFmtId="0" fontId="70" fillId="0" borderId="0" xfId="1" applyFont="1" applyBorder="1" applyAlignment="1">
      <alignment horizontal="left" shrinkToFit="1"/>
    </xf>
    <xf numFmtId="0" fontId="51" fillId="0" borderId="4" xfId="1" applyFont="1" applyBorder="1" applyAlignment="1">
      <alignment shrinkToFit="1"/>
    </xf>
    <xf numFmtId="1" fontId="38" fillId="0" borderId="43" xfId="1" applyNumberFormat="1" applyFont="1" applyBorder="1"/>
    <xf numFmtId="1" fontId="51" fillId="0" borderId="4" xfId="1" applyNumberFormat="1" applyFont="1" applyBorder="1" applyAlignment="1">
      <alignment shrinkToFit="1"/>
    </xf>
    <xf numFmtId="0" fontId="38" fillId="0" borderId="14" xfId="1" applyFont="1" applyBorder="1"/>
    <xf numFmtId="0" fontId="50" fillId="0" borderId="14" xfId="1" applyFont="1" applyBorder="1" applyAlignment="1"/>
    <xf numFmtId="0" fontId="50" fillId="0" borderId="14" xfId="1" applyFont="1" applyBorder="1" applyAlignment="1">
      <alignment horizontal="center"/>
    </xf>
    <xf numFmtId="0" fontId="60" fillId="0" borderId="14" xfId="1" applyFont="1" applyFill="1" applyBorder="1" applyAlignment="1">
      <alignment horizontal="left"/>
    </xf>
    <xf numFmtId="0" fontId="60" fillId="0" borderId="0" xfId="1" applyFont="1" applyBorder="1" applyAlignment="1">
      <alignment shrinkToFit="1"/>
    </xf>
    <xf numFmtId="49" fontId="60" fillId="0" borderId="0" xfId="1" applyNumberFormat="1" applyFont="1"/>
    <xf numFmtId="0" fontId="60" fillId="0" borderId="0" xfId="1" applyFont="1"/>
    <xf numFmtId="2" fontId="60" fillId="0" borderId="0" xfId="1" applyNumberFormat="1" applyFont="1" applyFill="1" applyBorder="1" applyAlignment="1">
      <alignment horizontal="right"/>
    </xf>
    <xf numFmtId="0" fontId="51" fillId="0" borderId="0" xfId="1" applyFont="1" applyBorder="1" applyAlignment="1">
      <alignment shrinkToFit="1"/>
    </xf>
    <xf numFmtId="0" fontId="50" fillId="0" borderId="6" xfId="1" applyFont="1" applyBorder="1"/>
    <xf numFmtId="1" fontId="50" fillId="0" borderId="14" xfId="1" applyNumberFormat="1" applyFont="1" applyBorder="1"/>
    <xf numFmtId="0" fontId="49" fillId="0" borderId="0" xfId="1" applyFont="1" applyBorder="1" applyAlignment="1">
      <alignment horizontal="left" shrinkToFit="1"/>
    </xf>
    <xf numFmtId="1" fontId="50" fillId="0" borderId="0" xfId="1" applyNumberFormat="1" applyFont="1" applyBorder="1" applyAlignment="1">
      <alignment horizontal="center"/>
    </xf>
    <xf numFmtId="0" fontId="50" fillId="0" borderId="0" xfId="4" applyFont="1" applyAlignment="1">
      <alignment horizontal="center"/>
    </xf>
    <xf numFmtId="0" fontId="50" fillId="0" borderId="0" xfId="4" applyFont="1"/>
    <xf numFmtId="0" fontId="50" fillId="0" borderId="0" xfId="4" applyFont="1" applyBorder="1"/>
    <xf numFmtId="1" fontId="50" fillId="0" borderId="0" xfId="4" applyNumberFormat="1" applyFont="1" applyBorder="1"/>
    <xf numFmtId="0" fontId="51" fillId="0" borderId="2" xfId="4" applyFont="1" applyBorder="1" applyAlignment="1">
      <alignment shrinkToFit="1"/>
    </xf>
    <xf numFmtId="0" fontId="54" fillId="0" borderId="0" xfId="4" applyFont="1" applyBorder="1"/>
    <xf numFmtId="0" fontId="7" fillId="0" borderId="0" xfId="4" applyFont="1" applyAlignment="1">
      <alignment horizontal="center"/>
    </xf>
    <xf numFmtId="0" fontId="76" fillId="0" borderId="0" xfId="4" applyFont="1" applyBorder="1"/>
    <xf numFmtId="0" fontId="54" fillId="0" borderId="0" xfId="4" applyFont="1" applyBorder="1" applyAlignment="1">
      <alignment horizontal="center"/>
    </xf>
    <xf numFmtId="0" fontId="54" fillId="0" borderId="3" xfId="4" applyFont="1" applyBorder="1"/>
    <xf numFmtId="9" fontId="50" fillId="0" borderId="0" xfId="4" applyNumberFormat="1" applyFont="1" applyAlignment="1">
      <alignment horizontal="center"/>
    </xf>
    <xf numFmtId="0" fontId="51" fillId="0" borderId="0" xfId="4" applyFont="1" applyBorder="1" applyAlignment="1">
      <alignment shrinkToFit="1"/>
    </xf>
    <xf numFmtId="0" fontId="50" fillId="0" borderId="3" xfId="4" applyFont="1" applyBorder="1"/>
    <xf numFmtId="0" fontId="54" fillId="0" borderId="0" xfId="4" applyFont="1" applyFill="1" applyBorder="1"/>
    <xf numFmtId="1" fontId="50" fillId="0" borderId="0" xfId="4" applyNumberFormat="1" applyFont="1"/>
    <xf numFmtId="0" fontId="80" fillId="0" borderId="0" xfId="4" applyFont="1" applyBorder="1" applyAlignment="1">
      <alignment shrinkToFit="1"/>
    </xf>
    <xf numFmtId="0" fontId="80" fillId="0" borderId="0" xfId="4" applyFont="1"/>
    <xf numFmtId="1" fontId="56" fillId="0" borderId="0" xfId="4" applyNumberFormat="1" applyFont="1"/>
    <xf numFmtId="0" fontId="56" fillId="0" borderId="0" xfId="4" applyFont="1"/>
    <xf numFmtId="0" fontId="77" fillId="0" borderId="0" xfId="4" applyFont="1" applyBorder="1"/>
    <xf numFmtId="0" fontId="77" fillId="0" borderId="0" xfId="4" applyFont="1" applyBorder="1" applyAlignment="1">
      <alignment horizontal="left" indent="1"/>
    </xf>
    <xf numFmtId="0" fontId="74" fillId="0" borderId="0" xfId="4" applyFont="1"/>
    <xf numFmtId="0" fontId="76" fillId="0" borderId="0" xfId="4" applyFont="1" applyBorder="1" applyAlignment="1">
      <alignment horizontal="left" indent="1"/>
    </xf>
    <xf numFmtId="1" fontId="2" fillId="0" borderId="0" xfId="4" applyNumberFormat="1" applyFont="1"/>
    <xf numFmtId="0" fontId="2" fillId="6" borderId="2" xfId="3" applyFont="1" applyFill="1" applyBorder="1" applyAlignment="1">
      <alignment horizontal="left" indent="1"/>
    </xf>
    <xf numFmtId="0" fontId="2" fillId="6" borderId="3" xfId="3" applyFont="1" applyFill="1" applyBorder="1" applyAlignment="1">
      <alignment horizontal="center"/>
    </xf>
    <xf numFmtId="0" fontId="74" fillId="0" borderId="0" xfId="4" applyFont="1" applyFill="1"/>
    <xf numFmtId="0" fontId="81" fillId="0" borderId="0" xfId="4" applyFont="1" applyBorder="1"/>
    <xf numFmtId="0" fontId="81" fillId="0" borderId="0" xfId="4" applyFont="1" applyBorder="1" applyAlignment="1">
      <alignment horizontal="left" indent="1"/>
    </xf>
    <xf numFmtId="9" fontId="2" fillId="6" borderId="3" xfId="5" applyFont="1" applyFill="1" applyBorder="1" applyAlignment="1">
      <alignment horizontal="center"/>
    </xf>
    <xf numFmtId="0" fontId="83" fillId="0" borderId="0" xfId="4" applyFont="1" applyBorder="1"/>
    <xf numFmtId="0" fontId="83" fillId="0" borderId="0" xfId="4" applyFont="1" applyBorder="1" applyAlignment="1">
      <alignment horizontal="left" indent="1"/>
    </xf>
    <xf numFmtId="1" fontId="50" fillId="0" borderId="7" xfId="4" applyNumberFormat="1" applyFont="1" applyBorder="1"/>
    <xf numFmtId="0" fontId="54" fillId="0" borderId="0" xfId="4" applyFont="1" applyAlignment="1">
      <alignment horizontal="left"/>
    </xf>
    <xf numFmtId="0" fontId="50" fillId="0" borderId="0" xfId="3" applyFont="1" applyBorder="1"/>
    <xf numFmtId="0" fontId="2" fillId="7" borderId="2" xfId="3" applyFont="1" applyFill="1" applyBorder="1" applyAlignment="1">
      <alignment horizontal="left" indent="1"/>
    </xf>
    <xf numFmtId="0" fontId="2" fillId="7" borderId="3" xfId="3" applyFont="1" applyFill="1" applyBorder="1" applyAlignment="1">
      <alignment horizontal="center"/>
    </xf>
    <xf numFmtId="9" fontId="2" fillId="7" borderId="3" xfId="5" applyFont="1" applyFill="1" applyBorder="1" applyAlignment="1">
      <alignment horizontal="center"/>
    </xf>
    <xf numFmtId="0" fontId="51" fillId="0" borderId="7" xfId="4" applyFont="1" applyBorder="1" applyAlignment="1">
      <alignment horizontal="left"/>
    </xf>
    <xf numFmtId="0" fontId="85" fillId="15" borderId="0" xfId="3" applyFont="1" applyFill="1"/>
    <xf numFmtId="0" fontId="82" fillId="15" borderId="0" xfId="3" applyFont="1" applyFill="1"/>
    <xf numFmtId="0" fontId="79" fillId="15" borderId="0" xfId="3" applyFont="1" applyFill="1"/>
    <xf numFmtId="1" fontId="85" fillId="15" borderId="0" xfId="3" applyNumberFormat="1" applyFont="1" applyFill="1" applyAlignment="1"/>
    <xf numFmtId="2" fontId="85" fillId="0" borderId="0" xfId="3" applyNumberFormat="1" applyFont="1"/>
    <xf numFmtId="0" fontId="86" fillId="0" borderId="0" xfId="3" applyFont="1"/>
    <xf numFmtId="0" fontId="2" fillId="0" borderId="0" xfId="3" applyFill="1"/>
    <xf numFmtId="0" fontId="76" fillId="0" borderId="0" xfId="3" applyFont="1" applyFill="1"/>
    <xf numFmtId="2" fontId="87" fillId="0" borderId="0" xfId="3" applyNumberFormat="1" applyFont="1" applyFill="1"/>
    <xf numFmtId="0" fontId="59" fillId="0" borderId="0" xfId="3" applyFont="1"/>
    <xf numFmtId="0" fontId="2" fillId="0" borderId="0" xfId="3"/>
    <xf numFmtId="1" fontId="2" fillId="0" borderId="0" xfId="3" applyNumberFormat="1" applyFill="1"/>
    <xf numFmtId="0" fontId="2" fillId="5" borderId="2" xfId="3" applyFont="1" applyFill="1" applyBorder="1" applyAlignment="1">
      <alignment horizontal="left" indent="1"/>
    </xf>
    <xf numFmtId="0" fontId="2" fillId="5" borderId="3" xfId="3" applyFont="1" applyFill="1" applyBorder="1"/>
    <xf numFmtId="1" fontId="2" fillId="0" borderId="7" xfId="3" applyNumberFormat="1" applyBorder="1"/>
    <xf numFmtId="0" fontId="2" fillId="5" borderId="4" xfId="3" applyFont="1" applyFill="1" applyBorder="1" applyAlignment="1">
      <alignment horizontal="left" indent="1"/>
    </xf>
    <xf numFmtId="0" fontId="2" fillId="5" borderId="5" xfId="3" applyFont="1" applyFill="1" applyBorder="1"/>
    <xf numFmtId="1" fontId="7" fillId="0" borderId="0" xfId="3" applyNumberFormat="1" applyFont="1"/>
    <xf numFmtId="0" fontId="89" fillId="0" borderId="0" xfId="3" applyFont="1" applyAlignment="1">
      <alignment horizontal="right"/>
    </xf>
    <xf numFmtId="0" fontId="2" fillId="0" borderId="0" xfId="3" applyAlignment="1">
      <alignment horizontal="center" vertical="center"/>
    </xf>
    <xf numFmtId="1" fontId="80" fillId="0" borderId="0" xfId="3" applyNumberFormat="1" applyFont="1" applyAlignment="1">
      <alignment horizontal="center" vertical="center" wrapText="1"/>
    </xf>
    <xf numFmtId="1" fontId="2" fillId="0" borderId="0" xfId="3" applyNumberFormat="1" applyAlignment="1">
      <alignment horizontal="center" vertical="center"/>
    </xf>
    <xf numFmtId="0" fontId="2" fillId="0" borderId="0" xfId="3" applyAlignment="1">
      <alignment horizontal="center"/>
    </xf>
    <xf numFmtId="0" fontId="2" fillId="0" borderId="0" xfId="4" applyFont="1" applyAlignment="1">
      <alignment horizontal="center"/>
    </xf>
    <xf numFmtId="0" fontId="51" fillId="0" borderId="0" xfId="4" applyFont="1" applyBorder="1" applyAlignment="1">
      <alignment horizontal="center" shrinkToFit="1"/>
    </xf>
    <xf numFmtId="165" fontId="2" fillId="0" borderId="0" xfId="3" applyNumberFormat="1" applyAlignment="1">
      <alignment horizontal="center"/>
    </xf>
    <xf numFmtId="1" fontId="2" fillId="3" borderId="0" xfId="3" applyNumberFormat="1" applyFill="1"/>
    <xf numFmtId="1" fontId="2" fillId="0" borderId="0" xfId="3" applyNumberFormat="1"/>
    <xf numFmtId="1" fontId="2" fillId="0" borderId="0" xfId="3" applyNumberFormat="1" applyAlignment="1">
      <alignment horizontal="center"/>
    </xf>
    <xf numFmtId="1" fontId="75" fillId="0" borderId="0" xfId="4" applyNumberFormat="1" applyAlignment="1">
      <alignment horizontal="left"/>
    </xf>
    <xf numFmtId="1" fontId="75" fillId="0" borderId="0" xfId="4" applyNumberFormat="1" applyAlignment="1">
      <alignment horizontal="center"/>
    </xf>
    <xf numFmtId="2" fontId="2" fillId="0" borderId="0" xfId="3" applyNumberFormat="1" applyFill="1"/>
    <xf numFmtId="2" fontId="2" fillId="0" borderId="0" xfId="3" applyNumberFormat="1"/>
    <xf numFmtId="10" fontId="82" fillId="0" borderId="0" xfId="5" applyNumberFormat="1" applyFont="1" applyBorder="1" applyAlignment="1">
      <alignment horizontal="center"/>
    </xf>
    <xf numFmtId="1" fontId="82" fillId="0" borderId="7" xfId="3" applyNumberFormat="1" applyFont="1" applyBorder="1"/>
    <xf numFmtId="1" fontId="82" fillId="2" borderId="7" xfId="3" applyNumberFormat="1" applyFont="1" applyFill="1" applyBorder="1" applyAlignment="1">
      <alignment horizontal="center"/>
    </xf>
    <xf numFmtId="0" fontId="51" fillId="0" borderId="14" xfId="4" applyFont="1" applyBorder="1" applyAlignment="1">
      <alignment shrinkToFit="1"/>
    </xf>
    <xf numFmtId="0" fontId="2" fillId="0" borderId="14" xfId="3" applyBorder="1"/>
    <xf numFmtId="1" fontId="82" fillId="0" borderId="14" xfId="3" applyNumberFormat="1" applyFont="1" applyBorder="1"/>
    <xf numFmtId="2" fontId="82" fillId="0" borderId="0" xfId="3" applyNumberFormat="1" applyFont="1" applyBorder="1"/>
    <xf numFmtId="17" fontId="2" fillId="0" borderId="0" xfId="3" applyNumberFormat="1" applyAlignment="1">
      <alignment horizontal="center"/>
    </xf>
    <xf numFmtId="1" fontId="2" fillId="0" borderId="0" xfId="3" applyNumberFormat="1" applyFont="1" applyBorder="1" applyAlignment="1">
      <alignment horizontal="center"/>
    </xf>
    <xf numFmtId="0" fontId="59" fillId="0" borderId="0" xfId="3" applyFont="1" applyAlignment="1">
      <alignment horizontal="left" indent="1"/>
    </xf>
    <xf numFmtId="9" fontId="76" fillId="0" borderId="0" xfId="3" applyNumberFormat="1" applyFont="1" applyAlignment="1">
      <alignment horizontal="center"/>
    </xf>
    <xf numFmtId="0" fontId="90" fillId="0" borderId="0" xfId="3" applyFont="1" applyAlignment="1">
      <alignment horizontal="left"/>
    </xf>
    <xf numFmtId="17" fontId="2" fillId="0" borderId="0" xfId="3" applyNumberFormat="1"/>
    <xf numFmtId="0" fontId="50" fillId="0" borderId="14" xfId="4" applyFont="1" applyBorder="1"/>
    <xf numFmtId="0" fontId="59" fillId="0" borderId="14" xfId="3" applyFont="1" applyBorder="1"/>
    <xf numFmtId="1" fontId="2" fillId="0" borderId="14" xfId="3" applyNumberFormat="1" applyBorder="1" applyAlignment="1">
      <alignment horizontal="right"/>
    </xf>
    <xf numFmtId="1" fontId="2" fillId="0" borderId="14" xfId="3" applyNumberFormat="1" applyBorder="1"/>
    <xf numFmtId="2" fontId="82" fillId="0" borderId="14" xfId="3" applyNumberFormat="1" applyFont="1" applyBorder="1" applyAlignment="1">
      <alignment horizontal="center"/>
    </xf>
    <xf numFmtId="14" fontId="2" fillId="0" borderId="0" xfId="3" applyNumberFormat="1" applyFill="1" applyBorder="1" applyAlignment="1">
      <alignment horizontal="center"/>
    </xf>
    <xf numFmtId="0" fontId="91" fillId="0" borderId="8" xfId="3" applyFont="1" applyBorder="1"/>
    <xf numFmtId="0" fontId="54" fillId="0" borderId="13" xfId="4" applyFont="1" applyBorder="1"/>
    <xf numFmtId="0" fontId="54" fillId="0" borderId="13" xfId="4" applyFont="1" applyFill="1" applyBorder="1"/>
    <xf numFmtId="0" fontId="54" fillId="0" borderId="0" xfId="4" applyFont="1"/>
    <xf numFmtId="0" fontId="59" fillId="0" borderId="0" xfId="4" applyFont="1"/>
    <xf numFmtId="0" fontId="7" fillId="0" borderId="2" xfId="3" applyFont="1" applyBorder="1"/>
    <xf numFmtId="0" fontId="78" fillId="0" borderId="0" xfId="3" applyFont="1" applyBorder="1" applyAlignment="1"/>
    <xf numFmtId="0" fontId="93" fillId="0" borderId="2" xfId="4" applyFont="1" applyFill="1" applyBorder="1" applyAlignment="1">
      <alignment horizontal="center" vertical="center"/>
    </xf>
    <xf numFmtId="0" fontId="56" fillId="0" borderId="0" xfId="3" applyFont="1" applyBorder="1" applyAlignment="1">
      <alignment horizontal="left" vertical="center"/>
    </xf>
    <xf numFmtId="0" fontId="54" fillId="0" borderId="2" xfId="4" applyFont="1" applyFill="1" applyBorder="1" applyAlignment="1">
      <alignment shrinkToFit="1"/>
    </xf>
    <xf numFmtId="0" fontId="54" fillId="0" borderId="0" xfId="4" applyFont="1" applyAlignment="1">
      <alignment horizontal="center"/>
    </xf>
    <xf numFmtId="0" fontId="54" fillId="0" borderId="4" xfId="4" applyFont="1" applyFill="1" applyBorder="1" applyAlignment="1">
      <alignment shrinkToFit="1"/>
    </xf>
    <xf numFmtId="0" fontId="54" fillId="0" borderId="5" xfId="4" applyFont="1" applyBorder="1"/>
    <xf numFmtId="0" fontId="54" fillId="0" borderId="0" xfId="4" applyFont="1" applyFill="1" applyBorder="1" applyAlignment="1">
      <alignment shrinkToFit="1"/>
    </xf>
    <xf numFmtId="0" fontId="95" fillId="0" borderId="13" xfId="4" applyFont="1" applyFill="1" applyBorder="1" applyAlignment="1">
      <alignment horizontal="left" vertical="top" wrapText="1"/>
    </xf>
    <xf numFmtId="0" fontId="5" fillId="0" borderId="0" xfId="3" applyFont="1" applyBorder="1"/>
    <xf numFmtId="0" fontId="50" fillId="0" borderId="0" xfId="3" applyFont="1" applyBorder="1" applyAlignment="1">
      <alignment horizontal="right"/>
    </xf>
    <xf numFmtId="0" fontId="54" fillId="0" borderId="0" xfId="3" applyFont="1" applyBorder="1" applyAlignment="1"/>
    <xf numFmtId="0" fontId="54" fillId="0" borderId="0" xfId="3" applyFont="1" applyBorder="1"/>
    <xf numFmtId="0" fontId="51" fillId="0" borderId="0" xfId="3" applyFont="1" applyBorder="1" applyAlignment="1"/>
    <xf numFmtId="0" fontId="51" fillId="0" borderId="4" xfId="4" applyFont="1" applyBorder="1" applyAlignment="1">
      <alignment shrinkToFit="1"/>
    </xf>
    <xf numFmtId="0" fontId="54" fillId="0" borderId="14" xfId="3" applyFont="1" applyBorder="1" applyAlignment="1"/>
    <xf numFmtId="0" fontId="54" fillId="0" borderId="14" xfId="3" applyFont="1" applyBorder="1"/>
    <xf numFmtId="0" fontId="50" fillId="0" borderId="5" xfId="4" applyFont="1" applyBorder="1"/>
    <xf numFmtId="0" fontId="51" fillId="0" borderId="0" xfId="4" applyFont="1" applyFill="1" applyBorder="1" applyAlignment="1">
      <alignment shrinkToFit="1"/>
    </xf>
    <xf numFmtId="0" fontId="92" fillId="0" borderId="8" xfId="3" applyFont="1" applyFill="1" applyBorder="1"/>
    <xf numFmtId="0" fontId="59" fillId="0" borderId="13" xfId="3" applyFont="1" applyFill="1" applyBorder="1" applyAlignment="1">
      <alignment horizontal="center"/>
    </xf>
    <xf numFmtId="0" fontId="2" fillId="0" borderId="13" xfId="3" applyFont="1" applyFill="1" applyBorder="1" applyAlignment="1">
      <alignment horizontal="center"/>
    </xf>
    <xf numFmtId="0" fontId="79" fillId="0" borderId="13" xfId="3" applyFont="1" applyFill="1" applyBorder="1"/>
    <xf numFmtId="0" fontId="50" fillId="0" borderId="13" xfId="4" applyFont="1" applyBorder="1"/>
    <xf numFmtId="0" fontId="79" fillId="0" borderId="13" xfId="3" applyFont="1" applyBorder="1"/>
    <xf numFmtId="0" fontId="50" fillId="0" borderId="9" xfId="4" applyFont="1" applyBorder="1"/>
    <xf numFmtId="0" fontId="50" fillId="0" borderId="2" xfId="3" applyFont="1" applyFill="1" applyBorder="1" applyAlignment="1">
      <alignment horizontal="left" indent="1"/>
    </xf>
    <xf numFmtId="0" fontId="2" fillId="0" borderId="0" xfId="3" applyFont="1" applyFill="1" applyBorder="1"/>
    <xf numFmtId="0" fontId="2" fillId="0" borderId="0" xfId="3" applyFont="1" applyFill="1" applyBorder="1" applyAlignment="1">
      <alignment horizontal="center"/>
    </xf>
    <xf numFmtId="0" fontId="50" fillId="0" borderId="0" xfId="3" applyFont="1" applyBorder="1" applyAlignment="1">
      <alignment horizontal="left" indent="1"/>
    </xf>
    <xf numFmtId="0" fontId="2" fillId="0" borderId="0" xfId="3" applyFont="1" applyFill="1" applyBorder="1" applyAlignment="1">
      <alignment horizontal="right"/>
    </xf>
    <xf numFmtId="0" fontId="92" fillId="0" borderId="2" xfId="3" applyFont="1" applyFill="1" applyBorder="1"/>
    <xf numFmtId="0" fontId="50" fillId="0" borderId="0" xfId="3" applyFont="1" applyFill="1" applyBorder="1"/>
    <xf numFmtId="0" fontId="62" fillId="0" borderId="0" xfId="3" applyFont="1" applyFill="1" applyBorder="1" applyAlignment="1">
      <alignment horizontal="left"/>
    </xf>
    <xf numFmtId="0" fontId="2" fillId="0" borderId="0" xfId="3" applyFont="1" applyFill="1" applyBorder="1" applyAlignment="1">
      <alignment horizontal="left" indent="1"/>
    </xf>
    <xf numFmtId="0" fontId="92" fillId="0" borderId="4" xfId="3" applyFont="1" applyFill="1" applyBorder="1"/>
    <xf numFmtId="0" fontId="4" fillId="0" borderId="14" xfId="3" applyFont="1" applyFill="1" applyBorder="1"/>
    <xf numFmtId="0" fontId="2" fillId="0" borderId="14" xfId="3" applyFont="1" applyFill="1" applyBorder="1" applyAlignment="1">
      <alignment horizontal="right"/>
    </xf>
    <xf numFmtId="0" fontId="38" fillId="0" borderId="0" xfId="3" applyFont="1" applyFill="1" applyBorder="1"/>
    <xf numFmtId="0" fontId="2" fillId="0" borderId="0" xfId="4" applyFont="1" applyAlignment="1">
      <alignment horizontal="left"/>
    </xf>
    <xf numFmtId="0" fontId="95" fillId="0" borderId="0" xfId="4" applyFont="1" applyFill="1" applyBorder="1" applyAlignment="1">
      <alignment horizontal="left" vertical="top" wrapText="1"/>
    </xf>
    <xf numFmtId="0" fontId="62" fillId="0" borderId="0" xfId="1" applyFont="1" applyFill="1" applyBorder="1"/>
    <xf numFmtId="14" fontId="70" fillId="0" borderId="0" xfId="1" applyNumberFormat="1" applyFont="1" applyBorder="1" applyAlignment="1">
      <alignment horizontal="center"/>
    </xf>
    <xf numFmtId="0" fontId="49" fillId="0" borderId="0" xfId="1" applyFont="1" applyBorder="1"/>
    <xf numFmtId="0" fontId="99" fillId="0" borderId="0" xfId="0" applyFont="1" applyBorder="1" applyAlignment="1">
      <alignment horizontal="left" indent="1"/>
    </xf>
    <xf numFmtId="0" fontId="99" fillId="0" borderId="0" xfId="0" applyFont="1" applyBorder="1" applyAlignment="1"/>
    <xf numFmtId="0" fontId="56" fillId="0" borderId="0" xfId="1" applyFont="1" applyBorder="1" applyAlignment="1">
      <alignment horizontal="center"/>
    </xf>
    <xf numFmtId="9" fontId="100" fillId="0" borderId="0" xfId="1" applyNumberFormat="1" applyFont="1" applyBorder="1" applyAlignment="1">
      <alignment horizontal="center"/>
    </xf>
    <xf numFmtId="0" fontId="100" fillId="0" borderId="0" xfId="1" applyFont="1" applyBorder="1" applyAlignment="1">
      <alignment horizontal="center"/>
    </xf>
    <xf numFmtId="3" fontId="0" fillId="0" borderId="41" xfId="0" applyNumberFormat="1" applyBorder="1" applyAlignment="1">
      <alignment horizontal="right"/>
    </xf>
    <xf numFmtId="0" fontId="46" fillId="0" borderId="13" xfId="1" applyFont="1" applyBorder="1" applyAlignment="1">
      <alignment horizontal="center" vertical="center"/>
    </xf>
    <xf numFmtId="0" fontId="50" fillId="0" borderId="35" xfId="4" applyFont="1" applyBorder="1"/>
    <xf numFmtId="1" fontId="50" fillId="0" borderId="35" xfId="4" applyNumberFormat="1" applyFont="1" applyBorder="1"/>
    <xf numFmtId="0" fontId="51" fillId="0" borderId="35" xfId="4" applyFont="1" applyBorder="1" applyAlignment="1">
      <alignment horizontal="center"/>
    </xf>
    <xf numFmtId="0" fontId="51" fillId="0" borderId="0" xfId="4" applyFont="1" applyBorder="1" applyAlignment="1">
      <alignment horizontal="center"/>
    </xf>
    <xf numFmtId="0" fontId="56" fillId="0" borderId="6" xfId="4" applyFont="1" applyBorder="1" applyAlignment="1">
      <alignment horizontal="right"/>
    </xf>
    <xf numFmtId="1" fontId="35" fillId="2" borderId="7" xfId="4" applyNumberFormat="1" applyFont="1" applyFill="1" applyBorder="1"/>
    <xf numFmtId="14" fontId="100" fillId="0" borderId="14" xfId="1" applyNumberFormat="1" applyFont="1" applyBorder="1" applyAlignment="1">
      <alignment horizontal="center"/>
    </xf>
    <xf numFmtId="0" fontId="51" fillId="0" borderId="0" xfId="1" applyFont="1" applyBorder="1" applyAlignment="1">
      <alignment horizontal="center"/>
    </xf>
    <xf numFmtId="1" fontId="101" fillId="0" borderId="0" xfId="1" applyNumberFormat="1" applyFont="1" applyFill="1" applyBorder="1"/>
    <xf numFmtId="0" fontId="0" fillId="0" borderId="26" xfId="0" applyBorder="1" applyAlignment="1">
      <alignment horizontal="left" indent="1"/>
    </xf>
    <xf numFmtId="0" fontId="0" fillId="0" borderId="27" xfId="0" applyBorder="1" applyAlignment="1">
      <alignment horizontal="left" indent="1"/>
    </xf>
    <xf numFmtId="0" fontId="0" fillId="0" borderId="29" xfId="0" applyBorder="1" applyAlignment="1">
      <alignment horizontal="left" indent="1"/>
    </xf>
    <xf numFmtId="0" fontId="0" fillId="0" borderId="1" xfId="0" applyBorder="1" applyAlignment="1">
      <alignment horizontal="left"/>
    </xf>
    <xf numFmtId="0" fontId="0" fillId="0" borderId="0" xfId="0" applyAlignment="1"/>
    <xf numFmtId="0" fontId="0" fillId="0" borderId="1" xfId="0" applyBorder="1" applyAlignment="1"/>
    <xf numFmtId="0" fontId="42" fillId="0" borderId="0" xfId="0" applyFont="1" applyBorder="1" applyAlignment="1">
      <alignment horizontal="center"/>
    </xf>
    <xf numFmtId="0" fontId="0" fillId="0" borderId="20" xfId="0" applyBorder="1" applyAlignment="1">
      <alignment horizontal="center"/>
    </xf>
    <xf numFmtId="0" fontId="0" fillId="0" borderId="32" xfId="0" applyBorder="1" applyAlignment="1"/>
    <xf numFmtId="49" fontId="0" fillId="0" borderId="1" xfId="0" applyNumberFormat="1" applyBorder="1" applyAlignment="1">
      <alignment horizontal="center"/>
    </xf>
    <xf numFmtId="0" fontId="0" fillId="0" borderId="33" xfId="0" applyBorder="1" applyAlignment="1"/>
    <xf numFmtId="0" fontId="0" fillId="0" borderId="30" xfId="0" applyBorder="1" applyAlignment="1"/>
    <xf numFmtId="0" fontId="0" fillId="0" borderId="35" xfId="0" applyBorder="1" applyAlignment="1"/>
    <xf numFmtId="3" fontId="0" fillId="0" borderId="0" xfId="0" applyNumberFormat="1" applyAlignment="1"/>
    <xf numFmtId="0" fontId="0" fillId="0" borderId="20" xfId="0" applyBorder="1" applyAlignment="1"/>
    <xf numFmtId="3" fontId="0" fillId="0" borderId="20" xfId="0" applyNumberFormat="1" applyBorder="1" applyAlignment="1"/>
    <xf numFmtId="3" fontId="0" fillId="0" borderId="28" xfId="0" applyNumberFormat="1" applyBorder="1" applyAlignment="1"/>
    <xf numFmtId="0" fontId="39" fillId="0" borderId="34" xfId="0" applyFont="1" applyBorder="1" applyAlignment="1"/>
    <xf numFmtId="0" fontId="50" fillId="2" borderId="0" xfId="1" applyFont="1" applyFill="1" applyBorder="1"/>
    <xf numFmtId="3" fontId="0" fillId="3" borderId="20" xfId="0" applyNumberFormat="1" applyFill="1" applyBorder="1" applyAlignment="1"/>
    <xf numFmtId="0" fontId="0" fillId="0" borderId="1" xfId="0" applyBorder="1" applyAlignment="1">
      <alignment horizontal="left"/>
    </xf>
    <xf numFmtId="0" fontId="0" fillId="0" borderId="26" xfId="0" applyBorder="1" applyAlignment="1">
      <alignment horizontal="left" indent="1"/>
    </xf>
    <xf numFmtId="0" fontId="0" fillId="0" borderId="27" xfId="0" applyBorder="1" applyAlignment="1">
      <alignment horizontal="left" indent="1"/>
    </xf>
    <xf numFmtId="0" fontId="0" fillId="0" borderId="29" xfId="0" applyBorder="1" applyAlignment="1">
      <alignment horizontal="left" indent="1"/>
    </xf>
    <xf numFmtId="17" fontId="105" fillId="0" borderId="0" xfId="1" applyNumberFormat="1" applyFont="1" applyBorder="1" applyAlignment="1">
      <alignment horizontal="center"/>
    </xf>
    <xf numFmtId="0" fontId="106" fillId="0" borderId="0" xfId="3" applyFont="1" applyAlignment="1"/>
    <xf numFmtId="0" fontId="59" fillId="0" borderId="0" xfId="3" applyFont="1" applyAlignment="1"/>
    <xf numFmtId="1" fontId="59" fillId="0" borderId="0" xfId="3" applyNumberFormat="1" applyFont="1" applyAlignment="1"/>
    <xf numFmtId="0" fontId="107" fillId="0" borderId="0" xfId="1" applyFont="1" applyBorder="1" applyAlignment="1">
      <alignment horizontal="center"/>
    </xf>
    <xf numFmtId="1" fontId="68" fillId="0" borderId="0" xfId="1" applyNumberFormat="1" applyFont="1" applyBorder="1" applyAlignment="1">
      <alignment horizontal="center"/>
    </xf>
    <xf numFmtId="0" fontId="49" fillId="0" borderId="14" xfId="1" applyFont="1" applyBorder="1" applyAlignment="1">
      <alignment horizontal="left" shrinkToFit="1"/>
    </xf>
    <xf numFmtId="0" fontId="49" fillId="0" borderId="0" xfId="1" applyFont="1" applyBorder="1" applyAlignment="1">
      <alignment horizontal="left" shrinkToFit="1"/>
    </xf>
    <xf numFmtId="0" fontId="2" fillId="0" borderId="0" xfId="4" applyFont="1" applyAlignment="1">
      <alignment horizontal="left"/>
    </xf>
    <xf numFmtId="0" fontId="95" fillId="0" borderId="0" xfId="4" applyFont="1" applyFill="1" applyBorder="1" applyAlignment="1">
      <alignment horizontal="left" vertical="top" wrapText="1"/>
    </xf>
    <xf numFmtId="1" fontId="108" fillId="17" borderId="47" xfId="1" applyNumberFormat="1" applyFont="1" applyFill="1" applyBorder="1" applyAlignment="1"/>
    <xf numFmtId="1" fontId="109" fillId="0" borderId="44" xfId="1" applyNumberFormat="1" applyFont="1" applyFill="1" applyBorder="1" applyAlignment="1"/>
    <xf numFmtId="1" fontId="109" fillId="0" borderId="44" xfId="1" applyNumberFormat="1" applyFont="1" applyBorder="1"/>
    <xf numFmtId="1" fontId="109" fillId="0" borderId="43" xfId="1" applyNumberFormat="1" applyFont="1" applyBorder="1"/>
    <xf numFmtId="1" fontId="38" fillId="0" borderId="43" xfId="1" applyNumberFormat="1" applyFont="1" applyBorder="1" applyAlignment="1">
      <alignment horizontal="right"/>
    </xf>
    <xf numFmtId="0" fontId="104" fillId="0" borderId="31" xfId="0" applyFont="1" applyBorder="1" applyAlignment="1">
      <alignment horizontal="left"/>
    </xf>
    <xf numFmtId="0" fontId="10" fillId="11" borderId="2" xfId="0" applyFont="1" applyFill="1" applyBorder="1" applyAlignment="1">
      <alignment horizontal="center" vertical="center" wrapText="1" readingOrder="1"/>
    </xf>
    <xf numFmtId="0" fontId="10" fillId="11" borderId="0" xfId="0" applyFont="1" applyFill="1" applyBorder="1" applyAlignment="1">
      <alignment horizontal="center" vertical="center" wrapText="1" readingOrder="1"/>
    </xf>
    <xf numFmtId="0" fontId="10" fillId="11" borderId="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11" fillId="11" borderId="0" xfId="0" applyFont="1" applyFill="1" applyBorder="1" applyAlignment="1">
      <alignment horizontal="center" vertical="center" wrapText="1" readingOrder="1"/>
    </xf>
    <xf numFmtId="0" fontId="23" fillId="0" borderId="10" xfId="0" applyFont="1" applyBorder="1" applyAlignment="1">
      <alignment horizontal="center" vertical="center" readingOrder="1"/>
    </xf>
    <xf numFmtId="0" fontId="20" fillId="11" borderId="8"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9" xfId="0" applyFont="1" applyFill="1" applyBorder="1" applyAlignment="1">
      <alignment horizontal="center" vertical="center" wrapText="1" readingOrder="1"/>
    </xf>
    <xf numFmtId="0" fontId="23" fillId="8" borderId="4" xfId="0" applyFont="1" applyFill="1" applyBorder="1" applyAlignment="1">
      <alignment horizontal="center" vertical="center" readingOrder="1"/>
    </xf>
    <xf numFmtId="0" fontId="23" fillId="8" borderId="14" xfId="0" applyFont="1" applyFill="1" applyBorder="1" applyAlignment="1">
      <alignment horizontal="center" vertical="center" readingOrder="1"/>
    </xf>
    <xf numFmtId="0" fontId="23" fillId="8" borderId="5" xfId="0" applyFont="1" applyFill="1" applyBorder="1" applyAlignment="1">
      <alignment horizontal="center" vertical="center" readingOrder="1"/>
    </xf>
    <xf numFmtId="0" fontId="11" fillId="11" borderId="2" xfId="0" applyFont="1" applyFill="1" applyBorder="1" applyAlignment="1">
      <alignment horizontal="center" vertical="center" wrapText="1" readingOrder="1"/>
    </xf>
    <xf numFmtId="0" fontId="11" fillId="11" borderId="3" xfId="0" applyFont="1" applyFill="1" applyBorder="1" applyAlignment="1">
      <alignment horizontal="center" vertical="center" wrapText="1" readingOrder="1"/>
    </xf>
    <xf numFmtId="0" fontId="23" fillId="0" borderId="4" xfId="0" applyFont="1" applyBorder="1" applyAlignment="1">
      <alignment horizontal="center" vertical="center" readingOrder="1"/>
    </xf>
    <xf numFmtId="0" fontId="23" fillId="0" borderId="14" xfId="0" applyFont="1" applyBorder="1" applyAlignment="1">
      <alignment horizontal="center" vertical="center" readingOrder="1"/>
    </xf>
    <xf numFmtId="0" fontId="23" fillId="0" borderId="5" xfId="0" applyFont="1" applyBorder="1" applyAlignment="1">
      <alignment horizontal="center" vertical="center" readingOrder="1"/>
    </xf>
    <xf numFmtId="0" fontId="19" fillId="11" borderId="8"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9" xfId="0" applyFont="1" applyFill="1" applyBorder="1" applyAlignment="1">
      <alignment horizontal="center" vertical="center" wrapText="1" readingOrder="1"/>
    </xf>
    <xf numFmtId="0" fontId="6" fillId="0" borderId="2" xfId="0"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6" fillId="0" borderId="3" xfId="0" applyFont="1" applyFill="1" applyBorder="1" applyAlignment="1">
      <alignment horizontal="center" vertical="center" wrapText="1" readingOrder="1"/>
    </xf>
    <xf numFmtId="0" fontId="33" fillId="9" borderId="8" xfId="0" applyFont="1" applyFill="1" applyBorder="1" applyAlignment="1">
      <alignment horizontal="center" vertical="center" wrapText="1" readingOrder="1"/>
    </xf>
    <xf numFmtId="0" fontId="33" fillId="9" borderId="13" xfId="0" applyFont="1" applyFill="1" applyBorder="1" applyAlignment="1">
      <alignment horizontal="center" vertical="center" wrapText="1" readingOrder="1"/>
    </xf>
    <xf numFmtId="0" fontId="33" fillId="9" borderId="9" xfId="0" applyFont="1" applyFill="1" applyBorder="1" applyAlignment="1">
      <alignment horizontal="center" vertical="center" wrapText="1" readingOrder="1"/>
    </xf>
    <xf numFmtId="0" fontId="31" fillId="0" borderId="2" xfId="0" applyFont="1" applyFill="1" applyBorder="1" applyAlignment="1">
      <alignment horizontal="center" vertical="center" wrapText="1" readingOrder="1"/>
    </xf>
    <xf numFmtId="0" fontId="31" fillId="0" borderId="0" xfId="0" applyFont="1" applyFill="1" applyBorder="1" applyAlignment="1">
      <alignment horizontal="center" vertical="center" wrapText="1" readingOrder="1"/>
    </xf>
    <xf numFmtId="0" fontId="31" fillId="0" borderId="3" xfId="0" applyFont="1" applyFill="1" applyBorder="1" applyAlignment="1">
      <alignment horizontal="center" vertical="center" wrapText="1" readingOrder="1"/>
    </xf>
    <xf numFmtId="0" fontId="6" fillId="10" borderId="2" xfId="0" applyFont="1" applyFill="1" applyBorder="1" applyAlignment="1">
      <alignment horizontal="center" vertical="center" wrapText="1" readingOrder="1"/>
    </xf>
    <xf numFmtId="0" fontId="6" fillId="10" borderId="0" xfId="0" applyFont="1" applyFill="1" applyBorder="1" applyAlignment="1">
      <alignment horizontal="center" vertical="center" wrapText="1" readingOrder="1"/>
    </xf>
    <xf numFmtId="0" fontId="6" fillId="10" borderId="3" xfId="0" applyFont="1" applyFill="1" applyBorder="1" applyAlignment="1">
      <alignment horizontal="center" vertical="center" wrapText="1" readingOrder="1"/>
    </xf>
    <xf numFmtId="0" fontId="38" fillId="0" borderId="2" xfId="0" applyFont="1" applyFill="1" applyBorder="1" applyAlignment="1">
      <alignment horizontal="center" vertical="center" wrapText="1" readingOrder="1"/>
    </xf>
    <xf numFmtId="0" fontId="38" fillId="0" borderId="0" xfId="0" applyFont="1" applyFill="1" applyBorder="1" applyAlignment="1">
      <alignment horizontal="center" vertical="center" wrapText="1" readingOrder="1"/>
    </xf>
    <xf numFmtId="0" fontId="38" fillId="0" borderId="3" xfId="0" applyFont="1" applyFill="1" applyBorder="1" applyAlignment="1">
      <alignment horizontal="center" vertical="center" wrapText="1" readingOrder="1"/>
    </xf>
    <xf numFmtId="0" fontId="0" fillId="0" borderId="39" xfId="0" applyFont="1" applyBorder="1" applyAlignment="1">
      <alignment horizontal="left" indent="1"/>
    </xf>
    <xf numFmtId="0" fontId="0" fillId="0" borderId="40" xfId="0" applyFont="1" applyBorder="1" applyAlignment="1">
      <alignment horizontal="left" indent="1"/>
    </xf>
    <xf numFmtId="0" fontId="0" fillId="0" borderId="19" xfId="0" applyBorder="1" applyAlignment="1">
      <alignment horizontal="left" indent="1"/>
    </xf>
    <xf numFmtId="0" fontId="0" fillId="0" borderId="1" xfId="0" applyBorder="1" applyAlignment="1">
      <alignment horizontal="left" indent="1"/>
    </xf>
    <xf numFmtId="0" fontId="104" fillId="0" borderId="26" xfId="0" applyFont="1" applyBorder="1" applyAlignment="1">
      <alignment horizontal="left"/>
    </xf>
    <xf numFmtId="0" fontId="44" fillId="0" borderId="27" xfId="0" applyFont="1" applyBorder="1" applyAlignment="1">
      <alignment horizontal="left"/>
    </xf>
    <xf numFmtId="0" fontId="44" fillId="0" borderId="28" xfId="0" applyFont="1" applyBorder="1" applyAlignment="1">
      <alignment horizontal="left"/>
    </xf>
    <xf numFmtId="0" fontId="0" fillId="0" borderId="26" xfId="0" applyBorder="1" applyAlignment="1">
      <alignment horizontal="left" indent="1"/>
    </xf>
    <xf numFmtId="0" fontId="0" fillId="0" borderId="27" xfId="0" applyBorder="1" applyAlignment="1">
      <alignment horizontal="left" indent="1"/>
    </xf>
    <xf numFmtId="0" fontId="0" fillId="0" borderId="29" xfId="0" applyBorder="1" applyAlignment="1">
      <alignment horizontal="left" indent="1"/>
    </xf>
    <xf numFmtId="0" fontId="104" fillId="0" borderId="19" xfId="0" applyFont="1" applyBorder="1" applyAlignment="1">
      <alignment horizontal="left"/>
    </xf>
    <xf numFmtId="0" fontId="44" fillId="0" borderId="1" xfId="0" applyFont="1" applyBorder="1" applyAlignment="1">
      <alignment horizontal="left"/>
    </xf>
    <xf numFmtId="0" fontId="44" fillId="0" borderId="20" xfId="0" applyFont="1" applyBorder="1" applyAlignment="1">
      <alignment horizontal="left"/>
    </xf>
    <xf numFmtId="0" fontId="0" fillId="0" borderId="26" xfId="0" applyBorder="1" applyAlignment="1">
      <alignment horizontal="left" wrapText="1" indent="1"/>
    </xf>
    <xf numFmtId="0" fontId="0" fillId="0" borderId="27" xfId="0" applyBorder="1" applyAlignment="1">
      <alignment horizontal="left" wrapText="1" indent="1"/>
    </xf>
    <xf numFmtId="0" fontId="0" fillId="0" borderId="29" xfId="0" applyBorder="1" applyAlignment="1">
      <alignment horizontal="left" wrapText="1" indent="1"/>
    </xf>
    <xf numFmtId="0" fontId="104" fillId="0" borderId="36" xfId="0" applyFont="1" applyBorder="1" applyAlignment="1">
      <alignment horizontal="left"/>
    </xf>
    <xf numFmtId="0" fontId="104" fillId="0" borderId="37" xfId="0" applyFont="1" applyBorder="1" applyAlignment="1">
      <alignment horizontal="left"/>
    </xf>
    <xf numFmtId="0" fontId="104" fillId="0" borderId="38" xfId="0" applyFont="1" applyBorder="1" applyAlignment="1">
      <alignment horizontal="left"/>
    </xf>
    <xf numFmtId="0" fontId="0" fillId="0" borderId="1" xfId="0" applyBorder="1" applyAlignment="1">
      <alignment horizontal="left" wrapText="1"/>
    </xf>
    <xf numFmtId="0" fontId="0" fillId="0" borderId="20" xfId="0" applyBorder="1" applyAlignment="1">
      <alignment horizontal="left" wrapText="1"/>
    </xf>
    <xf numFmtId="0" fontId="73" fillId="0" borderId="0" xfId="0" applyFont="1" applyAlignment="1">
      <alignment horizontal="center"/>
    </xf>
    <xf numFmtId="0" fontId="102" fillId="0" borderId="14" xfId="0" applyFont="1" applyBorder="1"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1" xfId="0" applyBorder="1" applyAlignment="1">
      <alignment horizontal="left"/>
    </xf>
    <xf numFmtId="0" fontId="0" fillId="0" borderId="20" xfId="0" applyBorder="1" applyAlignment="1">
      <alignment horizontal="left"/>
    </xf>
    <xf numFmtId="14" fontId="0" fillId="0" borderId="1" xfId="0" applyNumberFormat="1" applyBorder="1" applyAlignment="1">
      <alignment horizontal="left"/>
    </xf>
    <xf numFmtId="0" fontId="104" fillId="0" borderId="27" xfId="0" applyFont="1" applyBorder="1" applyAlignment="1">
      <alignment horizontal="left"/>
    </xf>
    <xf numFmtId="0" fontId="104" fillId="0" borderId="28" xfId="0" applyFont="1" applyBorder="1" applyAlignment="1">
      <alignment horizontal="left"/>
    </xf>
    <xf numFmtId="0" fontId="104" fillId="0" borderId="24" xfId="0" applyFont="1" applyBorder="1" applyAlignment="1">
      <alignment horizontal="left"/>
    </xf>
    <xf numFmtId="0" fontId="44" fillId="0" borderId="6" xfId="0" applyFont="1" applyBorder="1" applyAlignment="1">
      <alignment horizontal="left"/>
    </xf>
    <xf numFmtId="0" fontId="44" fillId="0" borderId="25" xfId="0" applyFont="1" applyBorder="1" applyAlignment="1">
      <alignment horizontal="left"/>
    </xf>
    <xf numFmtId="0" fontId="95" fillId="0" borderId="0" xfId="4" applyFont="1" applyFill="1" applyBorder="1" applyAlignment="1">
      <alignment horizontal="left" vertical="top" wrapText="1"/>
    </xf>
    <xf numFmtId="0" fontId="95" fillId="0" borderId="3" xfId="4" applyFont="1" applyFill="1" applyBorder="1" applyAlignment="1">
      <alignment horizontal="left" vertical="top" wrapText="1"/>
    </xf>
    <xf numFmtId="0" fontId="96" fillId="0" borderId="0" xfId="4" applyFont="1" applyFill="1" applyBorder="1" applyAlignment="1">
      <alignment horizontal="left" vertical="top" wrapText="1"/>
    </xf>
    <xf numFmtId="0" fontId="96" fillId="0" borderId="3" xfId="4" applyFont="1" applyFill="1" applyBorder="1" applyAlignment="1">
      <alignment horizontal="left" vertical="top" wrapText="1"/>
    </xf>
    <xf numFmtId="0" fontId="95" fillId="0" borderId="14" xfId="4" applyFont="1" applyFill="1" applyBorder="1" applyAlignment="1">
      <alignment horizontal="left" vertical="top" wrapText="1"/>
    </xf>
    <xf numFmtId="0" fontId="98" fillId="0" borderId="13" xfId="4" applyFont="1" applyBorder="1" applyAlignment="1">
      <alignment horizontal="center"/>
    </xf>
    <xf numFmtId="0" fontId="98" fillId="0" borderId="9" xfId="4" applyFont="1" applyBorder="1" applyAlignment="1">
      <alignment horizontal="center"/>
    </xf>
    <xf numFmtId="0" fontId="2" fillId="0" borderId="0" xfId="4" applyFont="1" applyAlignment="1">
      <alignment horizontal="left"/>
    </xf>
    <xf numFmtId="0" fontId="50" fillId="0" borderId="0" xfId="4" applyFont="1" applyAlignment="1">
      <alignment horizontal="left"/>
    </xf>
    <xf numFmtId="0" fontId="84" fillId="7" borderId="8" xfId="3" applyFont="1" applyFill="1" applyBorder="1" applyAlignment="1">
      <alignment horizontal="center"/>
    </xf>
    <xf numFmtId="0" fontId="84" fillId="7" borderId="9" xfId="3" applyFont="1" applyFill="1" applyBorder="1" applyAlignment="1">
      <alignment horizontal="center"/>
    </xf>
    <xf numFmtId="0" fontId="88" fillId="5" borderId="8" xfId="3" applyFont="1" applyFill="1" applyBorder="1" applyAlignment="1">
      <alignment horizontal="center"/>
    </xf>
    <xf numFmtId="0" fontId="88" fillId="5" borderId="9" xfId="3" applyFont="1" applyFill="1" applyBorder="1" applyAlignment="1">
      <alignment horizontal="center"/>
    </xf>
    <xf numFmtId="0" fontId="92" fillId="0" borderId="13" xfId="4" applyFont="1" applyBorder="1" applyAlignment="1">
      <alignment horizontal="center"/>
    </xf>
    <xf numFmtId="0" fontId="92" fillId="0" borderId="9" xfId="4" applyFont="1" applyBorder="1" applyAlignment="1">
      <alignment horizontal="center"/>
    </xf>
    <xf numFmtId="0" fontId="74" fillId="0" borderId="0" xfId="4" applyFont="1" applyAlignment="1">
      <alignment horizontal="center"/>
    </xf>
    <xf numFmtId="0" fontId="82" fillId="6" borderId="8" xfId="3" applyFont="1" applyFill="1" applyBorder="1" applyAlignment="1">
      <alignment horizontal="center"/>
    </xf>
    <xf numFmtId="0" fontId="82" fillId="6" borderId="9" xfId="3" applyFont="1" applyFill="1" applyBorder="1" applyAlignment="1">
      <alignment horizontal="center"/>
    </xf>
    <xf numFmtId="0" fontId="45" fillId="0" borderId="8" xfId="1" applyFont="1" applyBorder="1" applyAlignment="1">
      <alignment horizontal="center"/>
    </xf>
    <xf numFmtId="0" fontId="45" fillId="0" borderId="13" xfId="1" applyFont="1" applyBorder="1" applyAlignment="1">
      <alignment horizontal="center"/>
    </xf>
    <xf numFmtId="0" fontId="45" fillId="0" borderId="4" xfId="1" applyFont="1" applyBorder="1" applyAlignment="1">
      <alignment horizontal="center"/>
    </xf>
    <xf numFmtId="0" fontId="45" fillId="0" borderId="14" xfId="1" applyFont="1" applyBorder="1" applyAlignment="1">
      <alignment horizontal="center"/>
    </xf>
    <xf numFmtId="0" fontId="49" fillId="0" borderId="0" xfId="1" applyFont="1" applyBorder="1" applyAlignment="1">
      <alignment horizontal="left" shrinkToFit="1"/>
    </xf>
    <xf numFmtId="0" fontId="49" fillId="0" borderId="14" xfId="1" applyFont="1" applyBorder="1" applyAlignment="1">
      <alignment horizontal="left" shrinkToFit="1"/>
    </xf>
    <xf numFmtId="14" fontId="46" fillId="0" borderId="9" xfId="1" applyNumberFormat="1" applyFont="1" applyBorder="1" applyAlignment="1">
      <alignment horizontal="center" vertical="center" wrapText="1"/>
    </xf>
    <xf numFmtId="0" fontId="46" fillId="0" borderId="5" xfId="1" applyFont="1" applyBorder="1" applyAlignment="1">
      <alignment horizontal="center" vertical="center" wrapText="1"/>
    </xf>
    <xf numFmtId="0" fontId="47" fillId="0" borderId="42" xfId="1" applyFont="1" applyBorder="1" applyAlignment="1">
      <alignment horizontal="center" vertical="center" wrapText="1"/>
    </xf>
    <xf numFmtId="0" fontId="47" fillId="0" borderId="43" xfId="1" applyFont="1" applyBorder="1" applyAlignment="1">
      <alignment horizontal="center" vertical="center" wrapText="1"/>
    </xf>
  </cellXfs>
  <cellStyles count="6">
    <cellStyle name="Comma 2" xfId="2" xr:uid="{00000000-0005-0000-0000-000000000000}"/>
    <cellStyle name="Normal" xfId="0" builtinId="0"/>
    <cellStyle name="Normal 2" xfId="1" xr:uid="{00000000-0005-0000-0000-000002000000}"/>
    <cellStyle name="Normal 2 2" xfId="3" xr:uid="{00000000-0005-0000-0000-000003000000}"/>
    <cellStyle name="Normal 3" xfId="4" xr:uid="{00000000-0005-0000-0000-000004000000}"/>
    <cellStyle name="Percent 2" xfId="5" xr:uid="{00000000-0005-0000-0000-000005000000}"/>
  </cellStyles>
  <dxfs count="0"/>
  <tableStyles count="0" defaultTableStyle="TableStyleMedium2" defaultPivotStyle="PivotStyleLight16"/>
  <colors>
    <mruColors>
      <color rgb="FF0A0AAE"/>
      <color rgb="FF0099FF"/>
      <color rgb="FFF4B084"/>
      <color rgb="FFCFFB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ilmb21.indiatimes.com/service/home/~/Final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1.86 "/>
      <sheetName val="Reader"/>
      <sheetName val="Sheet1"/>
    </sheetNames>
    <sheetDataSet>
      <sheetData sheetId="0"/>
      <sheetData sheetId="1"/>
      <sheetData sheetId="2">
        <row r="4">
          <cell r="S4">
            <v>13260</v>
          </cell>
          <cell r="T4">
            <v>37400</v>
          </cell>
        </row>
        <row r="5">
          <cell r="S5">
            <v>13680</v>
          </cell>
          <cell r="T5">
            <v>37400</v>
          </cell>
        </row>
        <row r="6">
          <cell r="S6">
            <v>14100</v>
          </cell>
          <cell r="T6">
            <v>38530</v>
          </cell>
        </row>
        <row r="7">
          <cell r="S7">
            <v>14520</v>
          </cell>
          <cell r="T7">
            <v>38530</v>
          </cell>
        </row>
        <row r="8">
          <cell r="S8">
            <v>14940</v>
          </cell>
          <cell r="T8">
            <v>39690</v>
          </cell>
        </row>
        <row r="9">
          <cell r="S9">
            <v>15360</v>
          </cell>
          <cell r="T9">
            <v>39690</v>
          </cell>
        </row>
        <row r="10">
          <cell r="S10">
            <v>15780</v>
          </cell>
          <cell r="T10">
            <v>40890</v>
          </cell>
        </row>
        <row r="11">
          <cell r="S11">
            <v>16200</v>
          </cell>
          <cell r="T11">
            <v>40890</v>
          </cell>
        </row>
        <row r="12">
          <cell r="S12">
            <v>16400</v>
          </cell>
          <cell r="T12">
            <v>43390</v>
          </cell>
        </row>
        <row r="13">
          <cell r="S13">
            <v>16620</v>
          </cell>
          <cell r="T13">
            <v>42120</v>
          </cell>
        </row>
        <row r="14">
          <cell r="S14">
            <v>16850</v>
          </cell>
          <cell r="T14">
            <v>43390</v>
          </cell>
        </row>
        <row r="15">
          <cell r="S15">
            <v>17040</v>
          </cell>
          <cell r="T15">
            <v>42120</v>
          </cell>
        </row>
        <row r="16">
          <cell r="S16">
            <v>17300</v>
          </cell>
          <cell r="T16">
            <v>44700</v>
          </cell>
        </row>
        <row r="17">
          <cell r="S17">
            <v>17460</v>
          </cell>
          <cell r="T17">
            <v>43390</v>
          </cell>
        </row>
        <row r="18">
          <cell r="S18">
            <v>17750</v>
          </cell>
          <cell r="T18">
            <v>44700</v>
          </cell>
        </row>
        <row r="19">
          <cell r="S19">
            <v>17880</v>
          </cell>
          <cell r="T19">
            <v>43390</v>
          </cell>
        </row>
        <row r="20">
          <cell r="S20">
            <v>18200</v>
          </cell>
          <cell r="T20">
            <v>46050</v>
          </cell>
        </row>
        <row r="21">
          <cell r="S21">
            <v>18300</v>
          </cell>
          <cell r="T21">
            <v>44700</v>
          </cell>
        </row>
        <row r="22">
          <cell r="S22">
            <v>18650</v>
          </cell>
          <cell r="T22">
            <v>46050</v>
          </cell>
        </row>
        <row r="23">
          <cell r="S23">
            <v>18720</v>
          </cell>
          <cell r="T23">
            <v>44700</v>
          </cell>
        </row>
        <row r="24">
          <cell r="S24">
            <v>19100</v>
          </cell>
          <cell r="T24">
            <v>47440</v>
          </cell>
        </row>
        <row r="25">
          <cell r="S25">
            <v>19140</v>
          </cell>
          <cell r="T25">
            <v>46050</v>
          </cell>
        </row>
        <row r="26">
          <cell r="S26">
            <v>19550</v>
          </cell>
          <cell r="T26">
            <v>47440</v>
          </cell>
        </row>
        <row r="27">
          <cell r="S27">
            <v>19560</v>
          </cell>
          <cell r="T27">
            <v>46050</v>
          </cell>
        </row>
        <row r="28">
          <cell r="S28">
            <v>19980</v>
          </cell>
          <cell r="T28">
            <v>47440</v>
          </cell>
        </row>
        <row r="29">
          <cell r="S29">
            <v>20000</v>
          </cell>
          <cell r="T29">
            <v>48870</v>
          </cell>
        </row>
        <row r="30">
          <cell r="S30">
            <v>20450</v>
          </cell>
          <cell r="T30">
            <v>48870</v>
          </cell>
        </row>
        <row r="31">
          <cell r="S31">
            <v>20900</v>
          </cell>
          <cell r="T31">
            <v>50340</v>
          </cell>
        </row>
        <row r="32">
          <cell r="S32">
            <v>21400</v>
          </cell>
          <cell r="T32">
            <v>50340</v>
          </cell>
        </row>
        <row r="33">
          <cell r="S33">
            <v>21900</v>
          </cell>
          <cell r="T33">
            <v>51860</v>
          </cell>
        </row>
        <row r="34">
          <cell r="S34">
            <v>22400</v>
          </cell>
          <cell r="T34">
            <v>51860</v>
          </cell>
        </row>
        <row r="35">
          <cell r="S35">
            <v>22900</v>
          </cell>
          <cell r="T35">
            <v>53420</v>
          </cell>
        </row>
        <row r="36">
          <cell r="S36">
            <v>23400</v>
          </cell>
          <cell r="T36">
            <v>53420</v>
          </cell>
        </row>
        <row r="37">
          <cell r="S37">
            <v>23900</v>
          </cell>
          <cell r="T37">
            <v>55030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2"/>
  <sheetViews>
    <sheetView workbookViewId="0">
      <selection sqref="A1:G11"/>
    </sheetView>
  </sheetViews>
  <sheetFormatPr defaultColWidth="15.6640625" defaultRowHeight="30" customHeight="1" x14ac:dyDescent="0.3"/>
  <cols>
    <col min="1" max="5" width="16.6640625" style="2" customWidth="1"/>
    <col min="6" max="7" width="18.6640625" style="2" customWidth="1"/>
    <col min="8" max="8" width="15.6640625" style="2"/>
    <col min="9" max="9" width="18.33203125" style="2" customWidth="1"/>
    <col min="10" max="10" width="10.5546875" style="2" customWidth="1"/>
    <col min="11" max="16384" width="15.6640625" style="2"/>
  </cols>
  <sheetData>
    <row r="1" spans="1:7" ht="30" customHeight="1" x14ac:dyDescent="0.3">
      <c r="A1" s="375" t="s">
        <v>25</v>
      </c>
      <c r="B1" s="375"/>
      <c r="C1" s="375"/>
      <c r="D1" s="375"/>
      <c r="E1" s="375"/>
      <c r="F1" s="375"/>
      <c r="G1" s="375"/>
    </row>
    <row r="2" spans="1:7" ht="30" customHeight="1" x14ac:dyDescent="0.3">
      <c r="A2" s="373" t="s">
        <v>26</v>
      </c>
      <c r="B2" s="373"/>
      <c r="C2" s="373"/>
      <c r="D2" s="373"/>
      <c r="E2" s="373"/>
      <c r="F2" s="373"/>
      <c r="G2" s="373"/>
    </row>
    <row r="3" spans="1:7" ht="30" customHeight="1" x14ac:dyDescent="0.3">
      <c r="A3" s="376" t="s">
        <v>24</v>
      </c>
      <c r="B3" s="376"/>
      <c r="C3" s="376"/>
      <c r="D3" s="376"/>
      <c r="E3" s="376"/>
      <c r="F3" s="376"/>
      <c r="G3" s="376"/>
    </row>
    <row r="4" spans="1:7" ht="60" customHeight="1" thickBot="1" x14ac:dyDescent="0.35">
      <c r="A4" s="15" t="s">
        <v>17</v>
      </c>
      <c r="B4" s="16" t="s">
        <v>18</v>
      </c>
      <c r="C4" s="15" t="s">
        <v>19</v>
      </c>
      <c r="D4" s="15" t="s">
        <v>2</v>
      </c>
      <c r="E4" s="15" t="s">
        <v>2</v>
      </c>
      <c r="F4" s="15" t="s">
        <v>20</v>
      </c>
      <c r="G4" s="15" t="s">
        <v>21</v>
      </c>
    </row>
    <row r="5" spans="1:7" ht="30" customHeight="1" thickBot="1" x14ac:dyDescent="0.35">
      <c r="A5" s="3">
        <v>300000</v>
      </c>
      <c r="B5" s="4">
        <v>2500</v>
      </c>
      <c r="C5" s="4">
        <v>2500</v>
      </c>
      <c r="D5" s="4" t="s">
        <v>22</v>
      </c>
      <c r="E5" s="4" t="s">
        <v>22</v>
      </c>
      <c r="F5" s="5"/>
      <c r="G5" s="5"/>
    </row>
    <row r="6" spans="1:7" ht="30" customHeight="1" thickBot="1" x14ac:dyDescent="0.35">
      <c r="A6" s="6">
        <v>325000</v>
      </c>
      <c r="B6" s="7">
        <v>3750</v>
      </c>
      <c r="C6" s="7">
        <v>2500</v>
      </c>
      <c r="D6" s="7">
        <v>1250</v>
      </c>
      <c r="E6" s="7">
        <v>1300</v>
      </c>
      <c r="F6" s="8"/>
      <c r="G6" s="8"/>
    </row>
    <row r="7" spans="1:7" ht="30" customHeight="1" thickBot="1" x14ac:dyDescent="0.35">
      <c r="A7" s="9">
        <v>350000</v>
      </c>
      <c r="B7" s="10">
        <v>5000</v>
      </c>
      <c r="C7" s="9">
        <v>2500</v>
      </c>
      <c r="D7" s="10">
        <v>2500</v>
      </c>
      <c r="E7" s="10">
        <v>2600</v>
      </c>
      <c r="F7" s="5"/>
      <c r="G7" s="5"/>
    </row>
    <row r="8" spans="1:7" ht="30" customHeight="1" thickBot="1" x14ac:dyDescent="0.35">
      <c r="A8" s="6">
        <v>350100</v>
      </c>
      <c r="B8" s="7">
        <v>5005</v>
      </c>
      <c r="C8" s="7" t="s">
        <v>23</v>
      </c>
      <c r="D8" s="7">
        <v>5005</v>
      </c>
      <c r="E8" s="7">
        <v>5205</v>
      </c>
      <c r="F8" s="7">
        <v>100</v>
      </c>
      <c r="G8" s="7">
        <v>2605</v>
      </c>
    </row>
    <row r="9" spans="1:7" ht="30" customHeight="1" thickBot="1" x14ac:dyDescent="0.35">
      <c r="A9" s="11">
        <v>351000</v>
      </c>
      <c r="B9" s="12">
        <v>5050</v>
      </c>
      <c r="C9" s="12" t="s">
        <v>23</v>
      </c>
      <c r="D9" s="12">
        <v>5050</v>
      </c>
      <c r="E9" s="12">
        <v>5252</v>
      </c>
      <c r="F9" s="12">
        <v>1000</v>
      </c>
      <c r="G9" s="12">
        <v>2652</v>
      </c>
    </row>
    <row r="10" spans="1:7" ht="30" customHeight="1" thickBot="1" x14ac:dyDescent="0.35">
      <c r="A10" s="13">
        <v>352740</v>
      </c>
      <c r="B10" s="14">
        <v>5137</v>
      </c>
      <c r="C10" s="14" t="s">
        <v>0</v>
      </c>
      <c r="D10" s="14">
        <v>5137</v>
      </c>
      <c r="E10" s="14">
        <v>5342</v>
      </c>
      <c r="F10" s="14">
        <v>2740</v>
      </c>
      <c r="G10" s="14">
        <v>2742</v>
      </c>
    </row>
    <row r="11" spans="1:7" ht="21" customHeight="1" x14ac:dyDescent="0.3">
      <c r="A11" s="377" t="s">
        <v>27</v>
      </c>
      <c r="B11" s="377"/>
      <c r="C11" s="377"/>
      <c r="D11" s="377"/>
      <c r="E11" s="377"/>
      <c r="F11" s="377"/>
      <c r="G11" s="377"/>
    </row>
    <row r="12" spans="1:7" ht="30" customHeight="1" thickBot="1" x14ac:dyDescent="0.35"/>
    <row r="13" spans="1:7" ht="24" customHeight="1" x14ac:dyDescent="0.3">
      <c r="A13" s="378" t="s">
        <v>28</v>
      </c>
      <c r="B13" s="379"/>
      <c r="C13" s="379"/>
      <c r="D13" s="379"/>
      <c r="E13" s="379"/>
      <c r="F13" s="379"/>
      <c r="G13" s="380"/>
    </row>
    <row r="14" spans="1:7" ht="24" customHeight="1" x14ac:dyDescent="0.3">
      <c r="A14" s="372" t="s">
        <v>39</v>
      </c>
      <c r="B14" s="373"/>
      <c r="C14" s="373"/>
      <c r="D14" s="373"/>
      <c r="E14" s="373"/>
      <c r="F14" s="373"/>
      <c r="G14" s="374"/>
    </row>
    <row r="15" spans="1:7" ht="24" customHeight="1" x14ac:dyDescent="0.3">
      <c r="A15" s="384" t="s">
        <v>29</v>
      </c>
      <c r="B15" s="376"/>
      <c r="C15" s="376"/>
      <c r="D15" s="376"/>
      <c r="E15" s="376"/>
      <c r="F15" s="376"/>
      <c r="G15" s="385"/>
    </row>
    <row r="16" spans="1:7" ht="39.9" customHeight="1" thickBot="1" x14ac:dyDescent="0.35">
      <c r="A16" s="30" t="s">
        <v>17</v>
      </c>
      <c r="B16" s="18" t="s">
        <v>30</v>
      </c>
      <c r="C16" s="17" t="s">
        <v>19</v>
      </c>
      <c r="D16" s="17" t="s">
        <v>2</v>
      </c>
      <c r="E16" s="17" t="s">
        <v>32</v>
      </c>
      <c r="F16" s="17" t="s">
        <v>31</v>
      </c>
      <c r="G16" s="31" t="s">
        <v>21</v>
      </c>
    </row>
    <row r="17" spans="1:10" ht="30" customHeight="1" thickBot="1" x14ac:dyDescent="0.35">
      <c r="A17" s="50">
        <v>300000</v>
      </c>
      <c r="B17" s="48">
        <v>2500</v>
      </c>
      <c r="C17" s="48">
        <v>2500</v>
      </c>
      <c r="D17" s="49" t="s">
        <v>22</v>
      </c>
      <c r="E17" s="49" t="s">
        <v>22</v>
      </c>
      <c r="F17" s="48"/>
      <c r="G17" s="51"/>
    </row>
    <row r="18" spans="1:10" ht="30" customHeight="1" thickBot="1" x14ac:dyDescent="0.35">
      <c r="A18" s="32">
        <v>500000</v>
      </c>
      <c r="B18" s="21">
        <v>12500</v>
      </c>
      <c r="C18" s="21">
        <v>12500</v>
      </c>
      <c r="D18" s="22" t="s">
        <v>0</v>
      </c>
      <c r="E18" s="22" t="s">
        <v>0</v>
      </c>
      <c r="F18" s="19"/>
      <c r="G18" s="33"/>
      <c r="I18" s="1" t="s">
        <v>34</v>
      </c>
      <c r="J18" s="1">
        <f>12500*1.04</f>
        <v>13000</v>
      </c>
    </row>
    <row r="19" spans="1:10" ht="30" customHeight="1" thickBot="1" x14ac:dyDescent="0.35">
      <c r="A19" s="50">
        <v>500100</v>
      </c>
      <c r="B19" s="48">
        <f>12500+(A19-$A$18)*0.2</f>
        <v>12520</v>
      </c>
      <c r="C19" s="49" t="s">
        <v>23</v>
      </c>
      <c r="D19" s="48">
        <f>12500+(A19-$A$18)*0.2</f>
        <v>12520</v>
      </c>
      <c r="E19" s="48">
        <f>ROUND(D19*1.04,0)</f>
        <v>13021</v>
      </c>
      <c r="F19" s="48">
        <f>A19-$A$18</f>
        <v>100</v>
      </c>
      <c r="G19" s="52">
        <f>E19-0</f>
        <v>13021</v>
      </c>
      <c r="I19" s="1" t="s">
        <v>35</v>
      </c>
      <c r="J19" s="1">
        <v>100</v>
      </c>
    </row>
    <row r="20" spans="1:10" ht="30" customHeight="1" thickBot="1" x14ac:dyDescent="0.35">
      <c r="A20" s="32">
        <v>501000</v>
      </c>
      <c r="B20" s="21">
        <f t="shared" ref="B20:B23" si="0">12500+(A20-$A$18)*0.2</f>
        <v>12700</v>
      </c>
      <c r="C20" s="22" t="s">
        <v>23</v>
      </c>
      <c r="D20" s="21">
        <f>12500+(A20-$A$18)*0.2</f>
        <v>12700</v>
      </c>
      <c r="E20" s="21">
        <f>ROUND(D20*1.04,0)</f>
        <v>13208</v>
      </c>
      <c r="F20" s="21">
        <f>A20-$A$18</f>
        <v>1000</v>
      </c>
      <c r="G20" s="34">
        <f t="shared" ref="G20:G23" si="1">E20-0</f>
        <v>13208</v>
      </c>
      <c r="I20" s="1" t="s">
        <v>33</v>
      </c>
      <c r="J20" s="20">
        <v>0.20799999999999999</v>
      </c>
    </row>
    <row r="21" spans="1:10" ht="30" customHeight="1" thickBot="1" x14ac:dyDescent="0.35">
      <c r="A21" s="50">
        <v>505000</v>
      </c>
      <c r="B21" s="48">
        <f t="shared" si="0"/>
        <v>13500</v>
      </c>
      <c r="C21" s="49" t="s">
        <v>23</v>
      </c>
      <c r="D21" s="48">
        <f t="shared" ref="D21:D23" si="2">12500+(A21-$A$18)*0.2</f>
        <v>13500</v>
      </c>
      <c r="E21" s="48">
        <f t="shared" ref="E21:E23" si="3">ROUND(D21*1.04,0)</f>
        <v>14040</v>
      </c>
      <c r="F21" s="48">
        <f t="shared" ref="F21:F23" si="4">A21-$A$18</f>
        <v>5000</v>
      </c>
      <c r="G21" s="52">
        <f t="shared" si="1"/>
        <v>14040</v>
      </c>
      <c r="I21" s="1"/>
      <c r="J21" s="20">
        <f>100%-J20</f>
        <v>0.79200000000000004</v>
      </c>
    </row>
    <row r="22" spans="1:10" ht="30" customHeight="1" thickBot="1" x14ac:dyDescent="0.35">
      <c r="A22" s="32">
        <v>510000</v>
      </c>
      <c r="B22" s="21">
        <f t="shared" si="0"/>
        <v>14500</v>
      </c>
      <c r="C22" s="22" t="s">
        <v>23</v>
      </c>
      <c r="D22" s="21">
        <f t="shared" si="2"/>
        <v>14500</v>
      </c>
      <c r="E22" s="21">
        <f t="shared" si="3"/>
        <v>15080</v>
      </c>
      <c r="F22" s="21">
        <f t="shared" si="4"/>
        <v>10000</v>
      </c>
      <c r="G22" s="34">
        <f t="shared" si="1"/>
        <v>15080</v>
      </c>
      <c r="I22" s="1" t="s">
        <v>17</v>
      </c>
      <c r="J22" s="1">
        <f>ROUND(13000/J21,0)</f>
        <v>16414</v>
      </c>
    </row>
    <row r="23" spans="1:10" ht="30" customHeight="1" x14ac:dyDescent="0.3">
      <c r="A23" s="53">
        <v>516410</v>
      </c>
      <c r="B23" s="54">
        <f t="shared" si="0"/>
        <v>15782</v>
      </c>
      <c r="C23" s="55" t="s">
        <v>23</v>
      </c>
      <c r="D23" s="54">
        <f t="shared" si="2"/>
        <v>15782</v>
      </c>
      <c r="E23" s="54">
        <f t="shared" si="3"/>
        <v>16413</v>
      </c>
      <c r="F23" s="54">
        <f t="shared" si="4"/>
        <v>16410</v>
      </c>
      <c r="G23" s="56">
        <f t="shared" si="1"/>
        <v>16413</v>
      </c>
      <c r="I23" s="1"/>
      <c r="J23" s="1"/>
    </row>
    <row r="24" spans="1:10" ht="15" customHeight="1" thickBot="1" x14ac:dyDescent="0.35">
      <c r="A24" s="386" t="s">
        <v>47</v>
      </c>
      <c r="B24" s="387"/>
      <c r="C24" s="387"/>
      <c r="D24" s="387"/>
      <c r="E24" s="387"/>
      <c r="F24" s="387"/>
      <c r="G24" s="388"/>
    </row>
    <row r="25" spans="1:10" ht="30" customHeight="1" thickBot="1" x14ac:dyDescent="0.35"/>
    <row r="26" spans="1:10" ht="24.9" customHeight="1" x14ac:dyDescent="0.3">
      <c r="A26" s="389" t="s">
        <v>37</v>
      </c>
      <c r="B26" s="390"/>
      <c r="C26" s="390"/>
      <c r="D26" s="390"/>
      <c r="E26" s="390"/>
      <c r="F26" s="390"/>
      <c r="G26" s="391"/>
    </row>
    <row r="27" spans="1:10" ht="24.9" customHeight="1" x14ac:dyDescent="0.3">
      <c r="A27" s="372" t="s">
        <v>38</v>
      </c>
      <c r="B27" s="373"/>
      <c r="C27" s="373"/>
      <c r="D27" s="373"/>
      <c r="E27" s="373"/>
      <c r="F27" s="373"/>
      <c r="G27" s="374"/>
    </row>
    <row r="28" spans="1:10" ht="24.9" customHeight="1" x14ac:dyDescent="0.3">
      <c r="A28" s="384" t="s">
        <v>36</v>
      </c>
      <c r="B28" s="376"/>
      <c r="C28" s="376"/>
      <c r="D28" s="376"/>
      <c r="E28" s="376"/>
      <c r="F28" s="376"/>
      <c r="G28" s="385"/>
    </row>
    <row r="29" spans="1:10" ht="24.9" customHeight="1" x14ac:dyDescent="0.3">
      <c r="A29" s="392" t="s">
        <v>45</v>
      </c>
      <c r="B29" s="393"/>
      <c r="C29" s="393"/>
      <c r="D29" s="393"/>
      <c r="E29" s="393"/>
      <c r="F29" s="393"/>
      <c r="G29" s="394"/>
    </row>
    <row r="30" spans="1:10" ht="30" customHeight="1" thickBot="1" x14ac:dyDescent="0.35">
      <c r="A30" s="30" t="s">
        <v>17</v>
      </c>
      <c r="B30" s="18" t="s">
        <v>30</v>
      </c>
      <c r="C30" s="17" t="s">
        <v>19</v>
      </c>
      <c r="D30" s="17" t="s">
        <v>2</v>
      </c>
      <c r="E30" s="17" t="s">
        <v>32</v>
      </c>
      <c r="F30" s="17" t="s">
        <v>31</v>
      </c>
      <c r="G30" s="31" t="s">
        <v>21</v>
      </c>
    </row>
    <row r="31" spans="1:10" ht="30" customHeight="1" thickBot="1" x14ac:dyDescent="0.35">
      <c r="A31" s="43">
        <v>300000</v>
      </c>
      <c r="B31" s="44">
        <v>2500</v>
      </c>
      <c r="C31" s="44">
        <v>2500</v>
      </c>
      <c r="D31" s="45" t="s">
        <v>22</v>
      </c>
      <c r="E31" s="45" t="s">
        <v>22</v>
      </c>
      <c r="F31" s="44"/>
      <c r="G31" s="46"/>
    </row>
    <row r="32" spans="1:10" ht="30" customHeight="1" thickBot="1" x14ac:dyDescent="0.35">
      <c r="A32" s="32">
        <v>500000</v>
      </c>
      <c r="B32" s="21">
        <v>12500</v>
      </c>
      <c r="C32" s="21">
        <v>12500</v>
      </c>
      <c r="D32" s="22" t="s">
        <v>0</v>
      </c>
      <c r="E32" s="22" t="s">
        <v>0</v>
      </c>
      <c r="F32" s="19"/>
      <c r="G32" s="33"/>
    </row>
    <row r="33" spans="1:10" ht="30" customHeight="1" thickBot="1" x14ac:dyDescent="0.35">
      <c r="A33" s="43">
        <v>500100</v>
      </c>
      <c r="B33" s="44">
        <f>12500+(A33-$A$18)*0.2</f>
        <v>12520</v>
      </c>
      <c r="C33" s="45" t="s">
        <v>23</v>
      </c>
      <c r="D33" s="44">
        <f>12500+(A33-$A$18)*0.2</f>
        <v>12520</v>
      </c>
      <c r="E33" s="44">
        <f>ROUND(D33*1.04,0)</f>
        <v>13021</v>
      </c>
      <c r="F33" s="44">
        <f>A33-$A$18</f>
        <v>100</v>
      </c>
      <c r="G33" s="47">
        <f>E33-0</f>
        <v>13021</v>
      </c>
      <c r="I33" s="1" t="s">
        <v>34</v>
      </c>
      <c r="J33" s="1">
        <f>12500*1.04</f>
        <v>13000</v>
      </c>
    </row>
    <row r="34" spans="1:10" ht="30" customHeight="1" thickBot="1" x14ac:dyDescent="0.35">
      <c r="A34" s="32">
        <v>501000</v>
      </c>
      <c r="B34" s="21">
        <f t="shared" ref="B34:B37" si="5">12500+(A34-$A$18)*0.2</f>
        <v>12700</v>
      </c>
      <c r="C34" s="22" t="s">
        <v>23</v>
      </c>
      <c r="D34" s="21">
        <f>12500+(A34-$A$18)*0.2</f>
        <v>12700</v>
      </c>
      <c r="E34" s="21">
        <f>ROUND(D34*1.04,0)</f>
        <v>13208</v>
      </c>
      <c r="F34" s="21">
        <f>A34-$A$18</f>
        <v>1000</v>
      </c>
      <c r="G34" s="34">
        <f t="shared" ref="G34:G37" si="6">E34-0</f>
        <v>13208</v>
      </c>
      <c r="I34" s="1" t="s">
        <v>35</v>
      </c>
      <c r="J34" s="1">
        <v>100</v>
      </c>
    </row>
    <row r="35" spans="1:10" ht="30" customHeight="1" thickBot="1" x14ac:dyDescent="0.35">
      <c r="A35" s="43">
        <v>505000</v>
      </c>
      <c r="B35" s="44">
        <f t="shared" si="5"/>
        <v>13500</v>
      </c>
      <c r="C35" s="45" t="s">
        <v>23</v>
      </c>
      <c r="D35" s="44">
        <f t="shared" ref="D35:D37" si="7">12500+(A35-$A$18)*0.2</f>
        <v>13500</v>
      </c>
      <c r="E35" s="44">
        <f t="shared" ref="E35:E37" si="8">ROUND(D35*1.04,0)</f>
        <v>14040</v>
      </c>
      <c r="F35" s="44">
        <f t="shared" ref="F35:F37" si="9">A35-$A$18</f>
        <v>5000</v>
      </c>
      <c r="G35" s="47">
        <f t="shared" si="6"/>
        <v>14040</v>
      </c>
      <c r="I35" s="1" t="s">
        <v>33</v>
      </c>
      <c r="J35" s="20">
        <v>0.20799999999999999</v>
      </c>
    </row>
    <row r="36" spans="1:10" ht="30" customHeight="1" thickBot="1" x14ac:dyDescent="0.35">
      <c r="A36" s="32">
        <v>510000</v>
      </c>
      <c r="B36" s="21">
        <f t="shared" si="5"/>
        <v>14500</v>
      </c>
      <c r="C36" s="22" t="s">
        <v>23</v>
      </c>
      <c r="D36" s="21">
        <f t="shared" si="7"/>
        <v>14500</v>
      </c>
      <c r="E36" s="21">
        <f t="shared" si="8"/>
        <v>15080</v>
      </c>
      <c r="F36" s="21">
        <f t="shared" si="9"/>
        <v>10000</v>
      </c>
      <c r="G36" s="34">
        <f t="shared" si="6"/>
        <v>15080</v>
      </c>
      <c r="I36" s="1"/>
      <c r="J36" s="20">
        <f>100%-J35</f>
        <v>0.79200000000000004</v>
      </c>
    </row>
    <row r="37" spans="1:10" ht="30" customHeight="1" x14ac:dyDescent="0.3">
      <c r="A37" s="57">
        <v>516410</v>
      </c>
      <c r="B37" s="58">
        <f t="shared" si="5"/>
        <v>15782</v>
      </c>
      <c r="C37" s="59" t="s">
        <v>23</v>
      </c>
      <c r="D37" s="58">
        <f t="shared" si="7"/>
        <v>15782</v>
      </c>
      <c r="E37" s="58">
        <f t="shared" si="8"/>
        <v>16413</v>
      </c>
      <c r="F37" s="58">
        <f t="shared" si="9"/>
        <v>16410</v>
      </c>
      <c r="G37" s="60">
        <f t="shared" si="6"/>
        <v>16413</v>
      </c>
      <c r="I37" s="1" t="s">
        <v>17</v>
      </c>
      <c r="J37" s="1">
        <f>ROUND(13000/J36,0)</f>
        <v>16414</v>
      </c>
    </row>
    <row r="38" spans="1:10" ht="18.75" customHeight="1" thickBot="1" x14ac:dyDescent="0.35">
      <c r="A38" s="386" t="s">
        <v>47</v>
      </c>
      <c r="B38" s="387"/>
      <c r="C38" s="387"/>
      <c r="D38" s="387"/>
      <c r="E38" s="387"/>
      <c r="F38" s="387"/>
      <c r="G38" s="388"/>
    </row>
    <row r="39" spans="1:10" ht="30" customHeight="1" thickBot="1" x14ac:dyDescent="0.35"/>
    <row r="40" spans="1:10" ht="24.9" customHeight="1" x14ac:dyDescent="0.3">
      <c r="A40" s="395" t="s">
        <v>41</v>
      </c>
      <c r="B40" s="396"/>
      <c r="C40" s="396"/>
      <c r="D40" s="396"/>
      <c r="E40" s="396"/>
      <c r="F40" s="396"/>
      <c r="G40" s="397"/>
    </row>
    <row r="41" spans="1:10" ht="24.9" customHeight="1" x14ac:dyDescent="0.3">
      <c r="A41" s="398" t="s">
        <v>42</v>
      </c>
      <c r="B41" s="399"/>
      <c r="C41" s="399"/>
      <c r="D41" s="399"/>
      <c r="E41" s="399"/>
      <c r="F41" s="399"/>
      <c r="G41" s="400"/>
    </row>
    <row r="42" spans="1:10" ht="24.9" customHeight="1" x14ac:dyDescent="0.3">
      <c r="A42" s="401" t="s">
        <v>44</v>
      </c>
      <c r="B42" s="402"/>
      <c r="C42" s="402"/>
      <c r="D42" s="402"/>
      <c r="E42" s="402"/>
      <c r="F42" s="402"/>
      <c r="G42" s="403"/>
    </row>
    <row r="43" spans="1:10" ht="24.9" customHeight="1" x14ac:dyDescent="0.3">
      <c r="A43" s="404" t="s">
        <v>46</v>
      </c>
      <c r="B43" s="405"/>
      <c r="C43" s="405"/>
      <c r="D43" s="405"/>
      <c r="E43" s="405"/>
      <c r="F43" s="405"/>
      <c r="G43" s="406"/>
    </row>
    <row r="44" spans="1:10" ht="30" customHeight="1" x14ac:dyDescent="0.3">
      <c r="A44" s="35" t="s">
        <v>17</v>
      </c>
      <c r="B44" s="24" t="s">
        <v>40</v>
      </c>
      <c r="C44" s="23" t="s">
        <v>19</v>
      </c>
      <c r="D44" s="23" t="s">
        <v>43</v>
      </c>
      <c r="E44" s="23" t="s">
        <v>32</v>
      </c>
      <c r="F44" s="23" t="s">
        <v>31</v>
      </c>
      <c r="G44" s="36" t="s">
        <v>21</v>
      </c>
    </row>
    <row r="45" spans="1:10" ht="30" customHeight="1" x14ac:dyDescent="0.3">
      <c r="A45" s="37">
        <v>300000</v>
      </c>
      <c r="B45" s="25">
        <v>2500</v>
      </c>
      <c r="C45" s="25">
        <v>2500</v>
      </c>
      <c r="D45" s="26" t="s">
        <v>22</v>
      </c>
      <c r="E45" s="26" t="s">
        <v>22</v>
      </c>
      <c r="F45" s="25"/>
      <c r="G45" s="38"/>
    </row>
    <row r="46" spans="1:10" ht="30" customHeight="1" x14ac:dyDescent="0.3">
      <c r="A46" s="39">
        <v>500000</v>
      </c>
      <c r="B46" s="27">
        <v>12500</v>
      </c>
      <c r="C46" s="27">
        <v>12500</v>
      </c>
      <c r="D46" s="28" t="s">
        <v>0</v>
      </c>
      <c r="E46" s="28" t="s">
        <v>0</v>
      </c>
      <c r="F46" s="29"/>
      <c r="G46" s="40"/>
    </row>
    <row r="47" spans="1:10" ht="30" customHeight="1" x14ac:dyDescent="0.3">
      <c r="A47" s="37">
        <v>500100</v>
      </c>
      <c r="B47" s="25">
        <f>12500+(A47-$A$18)*0.1</f>
        <v>12510</v>
      </c>
      <c r="C47" s="26" t="s">
        <v>23</v>
      </c>
      <c r="D47" s="25">
        <f>12500+(A47-$A$18)*0.1</f>
        <v>12510</v>
      </c>
      <c r="E47" s="25">
        <f>ROUND(D47*1.04,0)</f>
        <v>13010</v>
      </c>
      <c r="F47" s="25">
        <f>A47-$A$18</f>
        <v>100</v>
      </c>
      <c r="G47" s="41">
        <f>E47-0</f>
        <v>13010</v>
      </c>
      <c r="I47" s="1" t="s">
        <v>34</v>
      </c>
      <c r="J47" s="1">
        <f>12500*1.04</f>
        <v>13000</v>
      </c>
    </row>
    <row r="48" spans="1:10" ht="30" customHeight="1" x14ac:dyDescent="0.3">
      <c r="A48" s="39">
        <v>501000</v>
      </c>
      <c r="B48" s="27">
        <f>12500+(A48-$A$18)*0.1</f>
        <v>12600</v>
      </c>
      <c r="C48" s="28" t="s">
        <v>23</v>
      </c>
      <c r="D48" s="27">
        <f>12500+(A48-$A$18)*0.1</f>
        <v>12600</v>
      </c>
      <c r="E48" s="27">
        <f>ROUND(D48*1.04,0)</f>
        <v>13104</v>
      </c>
      <c r="F48" s="27">
        <f>A48-$A$18</f>
        <v>1000</v>
      </c>
      <c r="G48" s="42">
        <f t="shared" ref="G48:G51" si="10">E48-0</f>
        <v>13104</v>
      </c>
      <c r="I48" s="1" t="s">
        <v>35</v>
      </c>
      <c r="J48" s="1">
        <v>100</v>
      </c>
    </row>
    <row r="49" spans="1:10" ht="30" customHeight="1" x14ac:dyDescent="0.3">
      <c r="A49" s="37">
        <v>505000</v>
      </c>
      <c r="B49" s="25">
        <f>12500+(A49-$A$18)*0.1</f>
        <v>13000</v>
      </c>
      <c r="C49" s="26" t="s">
        <v>23</v>
      </c>
      <c r="D49" s="25">
        <f>12500+(A49-$A$18)*0.1</f>
        <v>13000</v>
      </c>
      <c r="E49" s="25">
        <f t="shared" ref="E49:E51" si="11">ROUND(D49*1.04,0)</f>
        <v>13520</v>
      </c>
      <c r="F49" s="25">
        <f t="shared" ref="F49:F51" si="12">A49-$A$18</f>
        <v>5000</v>
      </c>
      <c r="G49" s="41">
        <f t="shared" si="10"/>
        <v>13520</v>
      </c>
      <c r="I49" s="1" t="s">
        <v>33</v>
      </c>
      <c r="J49" s="20">
        <v>0.104</v>
      </c>
    </row>
    <row r="50" spans="1:10" ht="30" customHeight="1" x14ac:dyDescent="0.3">
      <c r="A50" s="39">
        <v>510000</v>
      </c>
      <c r="B50" s="27">
        <f>12500+(A50-$A$18)*0.1</f>
        <v>13500</v>
      </c>
      <c r="C50" s="28" t="s">
        <v>23</v>
      </c>
      <c r="D50" s="27">
        <f>12500+(A50-$A$18)*0.1</f>
        <v>13500</v>
      </c>
      <c r="E50" s="27">
        <f t="shared" si="11"/>
        <v>14040</v>
      </c>
      <c r="F50" s="27">
        <f t="shared" si="12"/>
        <v>10000</v>
      </c>
      <c r="G50" s="42">
        <f t="shared" si="10"/>
        <v>14040</v>
      </c>
      <c r="I50" s="1"/>
      <c r="J50" s="20">
        <f>100%-J49</f>
        <v>0.89600000000000002</v>
      </c>
    </row>
    <row r="51" spans="1:10" ht="30" customHeight="1" x14ac:dyDescent="0.3">
      <c r="A51" s="37">
        <v>514510</v>
      </c>
      <c r="B51" s="25">
        <f>12500+(A51-$A$18)*0.1</f>
        <v>13951</v>
      </c>
      <c r="C51" s="26" t="s">
        <v>23</v>
      </c>
      <c r="D51" s="25">
        <f>12500+(A51-$A$18)*0.1</f>
        <v>13951</v>
      </c>
      <c r="E51" s="25">
        <f t="shared" si="11"/>
        <v>14509</v>
      </c>
      <c r="F51" s="25">
        <f t="shared" si="12"/>
        <v>14510</v>
      </c>
      <c r="G51" s="41">
        <f t="shared" si="10"/>
        <v>14509</v>
      </c>
      <c r="I51" s="1" t="s">
        <v>17</v>
      </c>
      <c r="J51" s="1">
        <f>ROUND(13000/J50,0)</f>
        <v>14509</v>
      </c>
    </row>
    <row r="52" spans="1:10" ht="19.5" customHeight="1" thickBot="1" x14ac:dyDescent="0.35">
      <c r="A52" s="381" t="s">
        <v>47</v>
      </c>
      <c r="B52" s="382"/>
      <c r="C52" s="382"/>
      <c r="D52" s="382"/>
      <c r="E52" s="382"/>
      <c r="F52" s="382"/>
      <c r="G52" s="383"/>
    </row>
  </sheetData>
  <mergeCells count="18">
    <mergeCell ref="A52:G52"/>
    <mergeCell ref="A15:G15"/>
    <mergeCell ref="A24:G24"/>
    <mergeCell ref="A26:G26"/>
    <mergeCell ref="A27:G27"/>
    <mergeCell ref="A28:G28"/>
    <mergeCell ref="A29:G29"/>
    <mergeCell ref="A38:G38"/>
    <mergeCell ref="A40:G40"/>
    <mergeCell ref="A41:G41"/>
    <mergeCell ref="A42:G42"/>
    <mergeCell ref="A43:G43"/>
    <mergeCell ref="A14:G14"/>
    <mergeCell ref="A1:G1"/>
    <mergeCell ref="A2:G2"/>
    <mergeCell ref="A3:G3"/>
    <mergeCell ref="A11:G11"/>
    <mergeCell ref="A13:G13"/>
  </mergeCells>
  <pageMargins left="0.7" right="0.7" top="0.75" bottom="0.75" header="0.3" footer="0.3"/>
  <pageSetup paperSize="9" fitToHeight="0" orientation="landscape" verticalDpi="0" r:id="rId1"/>
  <rowBreaks count="4" manualBreakCount="4">
    <brk id="11" max="16383" man="1"/>
    <brk id="24" max="16383" man="1"/>
    <brk id="3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tabSelected="1" topLeftCell="A43" zoomScale="150" zoomScaleNormal="150" workbookViewId="0">
      <selection activeCell="A7" sqref="A7"/>
    </sheetView>
  </sheetViews>
  <sheetFormatPr defaultColWidth="9.109375" defaultRowHeight="21" customHeight="1" x14ac:dyDescent="0.3"/>
  <cols>
    <col min="1" max="1" width="21.88671875" style="336" customWidth="1"/>
    <col min="2" max="2" width="18.44140625" style="336" customWidth="1"/>
    <col min="3" max="3" width="43.5546875" style="336" customWidth="1"/>
    <col min="4" max="4" width="21" style="336" customWidth="1"/>
    <col min="5" max="16384" width="9.109375" style="336"/>
  </cols>
  <sheetData>
    <row r="1" spans="1:4" ht="21" customHeight="1" x14ac:dyDescent="0.3">
      <c r="A1" s="428" t="s">
        <v>302</v>
      </c>
      <c r="B1" s="428"/>
      <c r="C1" s="428"/>
      <c r="D1" s="428"/>
    </row>
    <row r="2" spans="1:4" ht="21" customHeight="1" thickBot="1" x14ac:dyDescent="0.35">
      <c r="A2" s="429" t="s">
        <v>297</v>
      </c>
      <c r="B2" s="429"/>
      <c r="C2" s="429"/>
      <c r="D2" s="429"/>
    </row>
    <row r="3" spans="1:4" ht="17.100000000000001" customHeight="1" x14ac:dyDescent="0.3">
      <c r="A3" s="69" t="s">
        <v>54</v>
      </c>
      <c r="B3" s="430" t="s">
        <v>294</v>
      </c>
      <c r="C3" s="430"/>
      <c r="D3" s="431"/>
    </row>
    <row r="4" spans="1:4" ht="17.100000000000001" customHeight="1" x14ac:dyDescent="0.3">
      <c r="A4" s="61" t="s">
        <v>95</v>
      </c>
      <c r="B4" s="432" t="s">
        <v>296</v>
      </c>
      <c r="C4" s="432"/>
      <c r="D4" s="433"/>
    </row>
    <row r="5" spans="1:4" ht="17.100000000000001" customHeight="1" x14ac:dyDescent="0.3">
      <c r="A5" s="61" t="s">
        <v>55</v>
      </c>
      <c r="B5" s="352" t="s">
        <v>311</v>
      </c>
      <c r="C5" s="62"/>
      <c r="D5" s="68"/>
    </row>
    <row r="6" spans="1:4" ht="17.100000000000001" customHeight="1" x14ac:dyDescent="0.3">
      <c r="A6" s="61" t="s">
        <v>57</v>
      </c>
      <c r="B6" s="434">
        <v>31771</v>
      </c>
      <c r="C6" s="432"/>
      <c r="D6" s="433"/>
    </row>
    <row r="7" spans="1:4" ht="17.100000000000001" customHeight="1" x14ac:dyDescent="0.3">
      <c r="A7" s="61" t="s">
        <v>58</v>
      </c>
      <c r="B7" s="426" t="s">
        <v>59</v>
      </c>
      <c r="C7" s="426"/>
      <c r="D7" s="427"/>
    </row>
    <row r="8" spans="1:4" ht="17.100000000000001" customHeight="1" x14ac:dyDescent="0.3">
      <c r="A8" s="61" t="s">
        <v>60</v>
      </c>
      <c r="B8" s="432">
        <v>9811116835</v>
      </c>
      <c r="C8" s="432"/>
      <c r="D8" s="433"/>
    </row>
    <row r="9" spans="1:4" ht="17.100000000000001" customHeight="1" x14ac:dyDescent="0.3">
      <c r="A9" s="61" t="s">
        <v>61</v>
      </c>
      <c r="B9" s="432" t="s">
        <v>62</v>
      </c>
      <c r="C9" s="432"/>
      <c r="D9" s="433"/>
    </row>
    <row r="10" spans="1:4" ht="17.100000000000001" customHeight="1" x14ac:dyDescent="0.3">
      <c r="A10" s="61" t="s">
        <v>63</v>
      </c>
      <c r="B10" s="432" t="s">
        <v>290</v>
      </c>
      <c r="C10" s="432"/>
      <c r="D10" s="433"/>
    </row>
    <row r="11" spans="1:4" ht="17.100000000000001" customHeight="1" x14ac:dyDescent="0.3">
      <c r="A11" s="63" t="s">
        <v>64</v>
      </c>
      <c r="B11" s="432" t="s">
        <v>301</v>
      </c>
      <c r="C11" s="432"/>
      <c r="D11" s="433"/>
    </row>
    <row r="12" spans="1:4" ht="18" customHeight="1" x14ac:dyDescent="0.3">
      <c r="A12" s="63" t="s">
        <v>65</v>
      </c>
      <c r="B12" s="432" t="s">
        <v>303</v>
      </c>
      <c r="C12" s="432"/>
      <c r="D12" s="433"/>
    </row>
    <row r="13" spans="1:4" ht="18.899999999999999" customHeight="1" x14ac:dyDescent="0.3">
      <c r="A13" s="61" t="s">
        <v>66</v>
      </c>
      <c r="B13" s="432" t="s">
        <v>67</v>
      </c>
      <c r="C13" s="432"/>
      <c r="D13" s="433"/>
    </row>
    <row r="14" spans="1:4" ht="18.899999999999999" customHeight="1" x14ac:dyDescent="0.3">
      <c r="A14" s="64" t="s">
        <v>68</v>
      </c>
      <c r="B14" s="337" t="s">
        <v>69</v>
      </c>
      <c r="C14" s="338" t="s">
        <v>291</v>
      </c>
      <c r="D14" s="339" t="s">
        <v>70</v>
      </c>
    </row>
    <row r="15" spans="1:4" ht="18.899999999999999" customHeight="1" x14ac:dyDescent="0.3">
      <c r="A15" s="340"/>
      <c r="B15" s="337" t="s">
        <v>71</v>
      </c>
      <c r="C15" s="341" t="s">
        <v>72</v>
      </c>
      <c r="D15" s="339">
        <v>12345679890</v>
      </c>
    </row>
    <row r="16" spans="1:4" ht="18.899999999999999" customHeight="1" x14ac:dyDescent="0.3">
      <c r="A16" s="342"/>
      <c r="B16" s="337" t="s">
        <v>73</v>
      </c>
      <c r="C16" s="62" t="s">
        <v>74</v>
      </c>
      <c r="D16" s="339" t="s">
        <v>75</v>
      </c>
    </row>
    <row r="17" spans="1:6" ht="18.899999999999999" customHeight="1" x14ac:dyDescent="0.3">
      <c r="A17" s="343"/>
      <c r="B17" s="337" t="s">
        <v>76</v>
      </c>
      <c r="C17" s="62" t="s">
        <v>77</v>
      </c>
      <c r="D17" s="339" t="s">
        <v>78</v>
      </c>
    </row>
    <row r="18" spans="1:6" ht="21" customHeight="1" x14ac:dyDescent="0.3">
      <c r="A18" s="349" t="s">
        <v>79</v>
      </c>
      <c r="B18" s="344"/>
      <c r="C18" s="344"/>
      <c r="D18" s="65" t="s">
        <v>80</v>
      </c>
    </row>
    <row r="19" spans="1:6" ht="21" customHeight="1" x14ac:dyDescent="0.3">
      <c r="A19" s="411" t="s">
        <v>81</v>
      </c>
      <c r="B19" s="435"/>
      <c r="C19" s="435"/>
      <c r="D19" s="436"/>
    </row>
    <row r="20" spans="1:6" ht="18.899999999999999" customHeight="1" x14ac:dyDescent="0.3">
      <c r="A20" s="414" t="s">
        <v>48</v>
      </c>
      <c r="B20" s="415"/>
      <c r="C20" s="416"/>
      <c r="D20" s="66">
        <v>1000000</v>
      </c>
    </row>
    <row r="21" spans="1:6" ht="18.899999999999999" customHeight="1" x14ac:dyDescent="0.3">
      <c r="A21" s="414" t="s">
        <v>165</v>
      </c>
      <c r="B21" s="415"/>
      <c r="C21" s="416"/>
      <c r="D21" s="66">
        <v>130000</v>
      </c>
    </row>
    <row r="22" spans="1:6" ht="18.899999999999999" customHeight="1" x14ac:dyDescent="0.3">
      <c r="A22" s="353" t="s">
        <v>166</v>
      </c>
      <c r="B22" s="354"/>
      <c r="C22" s="355"/>
      <c r="D22" s="66">
        <v>240000</v>
      </c>
    </row>
    <row r="23" spans="1:6" ht="18.899999999999999" customHeight="1" x14ac:dyDescent="0.3">
      <c r="A23" s="353" t="s">
        <v>167</v>
      </c>
      <c r="B23" s="354"/>
      <c r="C23" s="355"/>
      <c r="D23" s="66">
        <v>90000</v>
      </c>
    </row>
    <row r="24" spans="1:6" ht="18.899999999999999" customHeight="1" x14ac:dyDescent="0.3">
      <c r="A24" s="414" t="s">
        <v>169</v>
      </c>
      <c r="B24" s="415"/>
      <c r="C24" s="416"/>
      <c r="D24" s="66">
        <v>2400</v>
      </c>
    </row>
    <row r="25" spans="1:6" ht="18.899999999999999" customHeight="1" thickBot="1" x14ac:dyDescent="0.35">
      <c r="A25" s="414" t="s">
        <v>170</v>
      </c>
      <c r="B25" s="415"/>
      <c r="C25" s="416"/>
      <c r="D25" s="66">
        <v>140000</v>
      </c>
      <c r="F25" s="345"/>
    </row>
    <row r="26" spans="1:6" ht="21" customHeight="1" x14ac:dyDescent="0.3">
      <c r="A26" s="423" t="s">
        <v>82</v>
      </c>
      <c r="B26" s="424"/>
      <c r="C26" s="424"/>
      <c r="D26" s="425"/>
    </row>
    <row r="27" spans="1:6" ht="21" customHeight="1" x14ac:dyDescent="0.3">
      <c r="A27" s="420" t="s">
        <v>92</v>
      </c>
      <c r="B27" s="421"/>
      <c r="C27" s="422"/>
      <c r="D27" s="371"/>
    </row>
    <row r="28" spans="1:6" ht="27" customHeight="1" x14ac:dyDescent="0.3">
      <c r="A28" s="420" t="s">
        <v>305</v>
      </c>
      <c r="B28" s="421"/>
      <c r="C28" s="422"/>
      <c r="D28" s="346"/>
    </row>
    <row r="29" spans="1:6" ht="18" customHeight="1" x14ac:dyDescent="0.3">
      <c r="A29" s="409" t="s">
        <v>278</v>
      </c>
      <c r="B29" s="410"/>
      <c r="C29" s="410"/>
      <c r="D29" s="347">
        <f>45000*12</f>
        <v>540000</v>
      </c>
    </row>
    <row r="30" spans="1:6" ht="18" customHeight="1" x14ac:dyDescent="0.3">
      <c r="A30" s="409" t="s">
        <v>264</v>
      </c>
      <c r="B30" s="410"/>
      <c r="C30" s="410"/>
      <c r="D30" s="347">
        <v>10000</v>
      </c>
    </row>
    <row r="31" spans="1:6" ht="18" customHeight="1" x14ac:dyDescent="0.3">
      <c r="A31" s="409" t="s">
        <v>83</v>
      </c>
      <c r="B31" s="410"/>
      <c r="C31" s="410"/>
      <c r="D31" s="347">
        <v>240000</v>
      </c>
    </row>
    <row r="32" spans="1:6" ht="21" customHeight="1" x14ac:dyDescent="0.3">
      <c r="A32" s="417" t="s">
        <v>85</v>
      </c>
      <c r="B32" s="418"/>
      <c r="C32" s="418"/>
      <c r="D32" s="419"/>
    </row>
    <row r="33" spans="1:4" ht="18.899999999999999" customHeight="1" x14ac:dyDescent="0.3">
      <c r="A33" s="409" t="s">
        <v>164</v>
      </c>
      <c r="B33" s="410"/>
      <c r="C33" s="410"/>
      <c r="D33" s="347">
        <v>23000</v>
      </c>
    </row>
    <row r="34" spans="1:4" ht="18.899999999999999" customHeight="1" x14ac:dyDescent="0.3">
      <c r="A34" s="409" t="s">
        <v>266</v>
      </c>
      <c r="B34" s="410"/>
      <c r="C34" s="410"/>
      <c r="D34" s="347">
        <f>92500*4</f>
        <v>370000</v>
      </c>
    </row>
    <row r="35" spans="1:4" ht="18.899999999999999" customHeight="1" x14ac:dyDescent="0.3">
      <c r="A35" s="409" t="s">
        <v>267</v>
      </c>
      <c r="B35" s="410"/>
      <c r="C35" s="410"/>
      <c r="D35" s="348">
        <v>42500</v>
      </c>
    </row>
    <row r="36" spans="1:4" ht="18.899999999999999" customHeight="1" x14ac:dyDescent="0.3">
      <c r="A36" s="409" t="s">
        <v>277</v>
      </c>
      <c r="B36" s="410"/>
      <c r="C36" s="410"/>
      <c r="D36" s="348">
        <v>4500</v>
      </c>
    </row>
    <row r="37" spans="1:4" ht="18.899999999999999" customHeight="1" x14ac:dyDescent="0.3">
      <c r="A37" s="411" t="s">
        <v>86</v>
      </c>
      <c r="B37" s="412"/>
      <c r="C37" s="412"/>
      <c r="D37" s="413"/>
    </row>
    <row r="38" spans="1:4" ht="18.899999999999999" customHeight="1" x14ac:dyDescent="0.3">
      <c r="A38" s="409" t="s">
        <v>159</v>
      </c>
      <c r="B38" s="410"/>
      <c r="C38" s="410"/>
      <c r="D38" s="66">
        <v>100000</v>
      </c>
    </row>
    <row r="39" spans="1:4" ht="18.899999999999999" customHeight="1" x14ac:dyDescent="0.3">
      <c r="A39" s="409" t="s">
        <v>274</v>
      </c>
      <c r="B39" s="410"/>
      <c r="C39" s="410"/>
      <c r="D39" s="66">
        <v>30000</v>
      </c>
    </row>
    <row r="40" spans="1:4" ht="18.899999999999999" customHeight="1" x14ac:dyDescent="0.3">
      <c r="A40" s="409" t="s">
        <v>160</v>
      </c>
      <c r="B40" s="410"/>
      <c r="C40" s="410"/>
      <c r="D40" s="66">
        <v>60000</v>
      </c>
    </row>
    <row r="41" spans="1:4" ht="18.899999999999999" customHeight="1" x14ac:dyDescent="0.3">
      <c r="A41" s="409" t="s">
        <v>163</v>
      </c>
      <c r="B41" s="410"/>
      <c r="C41" s="410"/>
      <c r="D41" s="66">
        <v>100000</v>
      </c>
    </row>
    <row r="42" spans="1:4" ht="18.899999999999999" customHeight="1" x14ac:dyDescent="0.3">
      <c r="A42" s="409" t="s">
        <v>310</v>
      </c>
      <c r="B42" s="410"/>
      <c r="C42" s="410"/>
      <c r="D42" s="66">
        <v>40000</v>
      </c>
    </row>
    <row r="43" spans="1:4" ht="18.899999999999999" customHeight="1" x14ac:dyDescent="0.3">
      <c r="A43" s="409" t="s">
        <v>87</v>
      </c>
      <c r="B43" s="410"/>
      <c r="C43" s="410"/>
      <c r="D43" s="351">
        <v>32000</v>
      </c>
    </row>
    <row r="44" spans="1:4" ht="18.899999999999999" customHeight="1" x14ac:dyDescent="0.3">
      <c r="A44" s="411" t="s">
        <v>88</v>
      </c>
      <c r="B44" s="412"/>
      <c r="C44" s="412"/>
      <c r="D44" s="413"/>
    </row>
    <row r="45" spans="1:4" ht="18.899999999999999" customHeight="1" x14ac:dyDescent="0.3">
      <c r="A45" s="414" t="s">
        <v>312</v>
      </c>
      <c r="B45" s="415"/>
      <c r="C45" s="416"/>
      <c r="D45" s="66">
        <v>200000</v>
      </c>
    </row>
    <row r="46" spans="1:4" ht="18.899999999999999" customHeight="1" x14ac:dyDescent="0.3">
      <c r="A46" s="409" t="s">
        <v>93</v>
      </c>
      <c r="B46" s="410"/>
      <c r="C46" s="410"/>
      <c r="D46" s="347">
        <v>30000</v>
      </c>
    </row>
    <row r="47" spans="1:4" ht="18.899999999999999" customHeight="1" x14ac:dyDescent="0.3">
      <c r="A47" s="417" t="s">
        <v>89</v>
      </c>
      <c r="B47" s="418"/>
      <c r="C47" s="418"/>
      <c r="D47" s="419"/>
    </row>
    <row r="48" spans="1:4" ht="18.899999999999999" customHeight="1" thickBot="1" x14ac:dyDescent="0.35">
      <c r="A48" s="407" t="s">
        <v>304</v>
      </c>
      <c r="B48" s="408"/>
      <c r="C48" s="408"/>
      <c r="D48" s="321" t="s">
        <v>279</v>
      </c>
    </row>
  </sheetData>
  <mergeCells count="40">
    <mergeCell ref="B13:D13"/>
    <mergeCell ref="A19:D19"/>
    <mergeCell ref="A20:C20"/>
    <mergeCell ref="B8:D8"/>
    <mergeCell ref="B9:D9"/>
    <mergeCell ref="B10:D10"/>
    <mergeCell ref="B11:D11"/>
    <mergeCell ref="B12:D12"/>
    <mergeCell ref="B7:D7"/>
    <mergeCell ref="A1:D1"/>
    <mergeCell ref="A2:D2"/>
    <mergeCell ref="B3:D3"/>
    <mergeCell ref="B4:D4"/>
    <mergeCell ref="B6:D6"/>
    <mergeCell ref="A21:C21"/>
    <mergeCell ref="A24:C24"/>
    <mergeCell ref="A25:C25"/>
    <mergeCell ref="A35:C35"/>
    <mergeCell ref="A28:C28"/>
    <mergeCell ref="A29:C29"/>
    <mergeCell ref="A30:C30"/>
    <mergeCell ref="A31:C31"/>
    <mergeCell ref="A32:D32"/>
    <mergeCell ref="A33:C33"/>
    <mergeCell ref="A34:C34"/>
    <mergeCell ref="A27:C27"/>
    <mergeCell ref="A26:D26"/>
    <mergeCell ref="A48:C48"/>
    <mergeCell ref="A36:C36"/>
    <mergeCell ref="A37:D37"/>
    <mergeCell ref="A38:C38"/>
    <mergeCell ref="A39:C39"/>
    <mergeCell ref="A40:C40"/>
    <mergeCell ref="A41:C41"/>
    <mergeCell ref="A43:C43"/>
    <mergeCell ref="A44:D44"/>
    <mergeCell ref="A45:C45"/>
    <mergeCell ref="A46:C46"/>
    <mergeCell ref="A47:D47"/>
    <mergeCell ref="A42:C42"/>
  </mergeCells>
  <printOptions horizontalCentered="1" verticalCentered="1"/>
  <pageMargins left="0.19685039370078741" right="0.11811023622047245" top="0" bottom="0" header="0" footer="0"/>
  <pageSetup paperSize="9" scale="9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50"/>
  <sheetViews>
    <sheetView topLeftCell="A2" zoomScale="150" zoomScaleNormal="150" workbookViewId="0">
      <selection activeCell="A2" sqref="A2:D2"/>
    </sheetView>
  </sheetViews>
  <sheetFormatPr defaultColWidth="9.109375" defaultRowHeight="21" customHeight="1" x14ac:dyDescent="0.3"/>
  <cols>
    <col min="1" max="1" width="21.88671875" style="336" customWidth="1"/>
    <col min="2" max="2" width="18.44140625" style="336" customWidth="1"/>
    <col min="3" max="3" width="43.5546875" style="336" customWidth="1"/>
    <col min="4" max="4" width="21" style="336" customWidth="1"/>
    <col min="5" max="16384" width="9.109375" style="336"/>
  </cols>
  <sheetData>
    <row r="1" spans="1:4" ht="21" customHeight="1" x14ac:dyDescent="0.3">
      <c r="A1" s="428" t="s">
        <v>287</v>
      </c>
      <c r="B1" s="428"/>
      <c r="C1" s="428"/>
      <c r="D1" s="428"/>
    </row>
    <row r="2" spans="1:4" ht="21" customHeight="1" thickBot="1" x14ac:dyDescent="0.35">
      <c r="A2" s="429" t="s">
        <v>288</v>
      </c>
      <c r="B2" s="429"/>
      <c r="C2" s="429"/>
      <c r="D2" s="429"/>
    </row>
    <row r="3" spans="1:4" ht="17.100000000000001" customHeight="1" x14ac:dyDescent="0.3">
      <c r="A3" s="69" t="s">
        <v>54</v>
      </c>
      <c r="B3" s="430" t="s">
        <v>294</v>
      </c>
      <c r="C3" s="430"/>
      <c r="D3" s="431"/>
    </row>
    <row r="4" spans="1:4" ht="17.100000000000001" customHeight="1" x14ac:dyDescent="0.3">
      <c r="A4" s="61" t="s">
        <v>95</v>
      </c>
      <c r="B4" s="432" t="s">
        <v>296</v>
      </c>
      <c r="C4" s="432"/>
      <c r="D4" s="433"/>
    </row>
    <row r="5" spans="1:4" ht="17.100000000000001" customHeight="1" x14ac:dyDescent="0.3">
      <c r="A5" s="61" t="s">
        <v>55</v>
      </c>
      <c r="B5" s="335" t="s">
        <v>90</v>
      </c>
      <c r="C5" s="62" t="s">
        <v>56</v>
      </c>
      <c r="D5" s="68" t="s">
        <v>94</v>
      </c>
    </row>
    <row r="6" spans="1:4" ht="17.100000000000001" customHeight="1" x14ac:dyDescent="0.3">
      <c r="A6" s="61" t="s">
        <v>57</v>
      </c>
      <c r="B6" s="434">
        <v>31771</v>
      </c>
      <c r="C6" s="432"/>
      <c r="D6" s="433"/>
    </row>
    <row r="7" spans="1:4" ht="17.100000000000001" customHeight="1" x14ac:dyDescent="0.3">
      <c r="A7" s="61" t="s">
        <v>58</v>
      </c>
      <c r="B7" s="426" t="s">
        <v>59</v>
      </c>
      <c r="C7" s="426"/>
      <c r="D7" s="427"/>
    </row>
    <row r="8" spans="1:4" ht="17.100000000000001" customHeight="1" x14ac:dyDescent="0.3">
      <c r="A8" s="61" t="s">
        <v>60</v>
      </c>
      <c r="B8" s="432">
        <v>9811116835</v>
      </c>
      <c r="C8" s="432"/>
      <c r="D8" s="433"/>
    </row>
    <row r="9" spans="1:4" ht="17.100000000000001" customHeight="1" x14ac:dyDescent="0.3">
      <c r="A9" s="61" t="s">
        <v>61</v>
      </c>
      <c r="B9" s="432" t="s">
        <v>62</v>
      </c>
      <c r="C9" s="432"/>
      <c r="D9" s="433"/>
    </row>
    <row r="10" spans="1:4" ht="17.100000000000001" customHeight="1" x14ac:dyDescent="0.3">
      <c r="A10" s="61" t="s">
        <v>63</v>
      </c>
      <c r="B10" s="432" t="s">
        <v>290</v>
      </c>
      <c r="C10" s="432"/>
      <c r="D10" s="433"/>
    </row>
    <row r="11" spans="1:4" ht="17.100000000000001" customHeight="1" x14ac:dyDescent="0.3">
      <c r="A11" s="63" t="s">
        <v>64</v>
      </c>
      <c r="B11" s="432" t="s">
        <v>289</v>
      </c>
      <c r="C11" s="432"/>
      <c r="D11" s="433"/>
    </row>
    <row r="12" spans="1:4" ht="18" customHeight="1" x14ac:dyDescent="0.3">
      <c r="A12" s="63" t="s">
        <v>65</v>
      </c>
      <c r="B12" s="432" t="s">
        <v>91</v>
      </c>
      <c r="C12" s="432"/>
      <c r="D12" s="433"/>
    </row>
    <row r="13" spans="1:4" ht="18.899999999999999" customHeight="1" x14ac:dyDescent="0.3">
      <c r="A13" s="61" t="s">
        <v>66</v>
      </c>
      <c r="B13" s="432" t="s">
        <v>67</v>
      </c>
      <c r="C13" s="432"/>
      <c r="D13" s="433"/>
    </row>
    <row r="14" spans="1:4" ht="18.899999999999999" customHeight="1" x14ac:dyDescent="0.3">
      <c r="A14" s="64" t="s">
        <v>68</v>
      </c>
      <c r="B14" s="337" t="s">
        <v>69</v>
      </c>
      <c r="C14" s="338" t="s">
        <v>291</v>
      </c>
      <c r="D14" s="339" t="s">
        <v>70</v>
      </c>
    </row>
    <row r="15" spans="1:4" ht="18.899999999999999" customHeight="1" x14ac:dyDescent="0.3">
      <c r="A15" s="340"/>
      <c r="B15" s="337" t="s">
        <v>71</v>
      </c>
      <c r="C15" s="341" t="s">
        <v>72</v>
      </c>
      <c r="D15" s="339">
        <v>12345679890</v>
      </c>
    </row>
    <row r="16" spans="1:4" ht="18.899999999999999" customHeight="1" x14ac:dyDescent="0.3">
      <c r="A16" s="342"/>
      <c r="B16" s="337" t="s">
        <v>73</v>
      </c>
      <c r="C16" s="62" t="s">
        <v>74</v>
      </c>
      <c r="D16" s="339" t="s">
        <v>75</v>
      </c>
    </row>
    <row r="17" spans="1:6" ht="18.899999999999999" customHeight="1" x14ac:dyDescent="0.3">
      <c r="A17" s="343"/>
      <c r="B17" s="337" t="s">
        <v>76</v>
      </c>
      <c r="C17" s="62" t="s">
        <v>77</v>
      </c>
      <c r="D17" s="339" t="s">
        <v>78</v>
      </c>
    </row>
    <row r="18" spans="1:6" ht="21" customHeight="1" x14ac:dyDescent="0.3">
      <c r="A18" s="349" t="s">
        <v>79</v>
      </c>
      <c r="B18" s="344"/>
      <c r="C18" s="344"/>
      <c r="D18" s="65" t="s">
        <v>80</v>
      </c>
    </row>
    <row r="19" spans="1:6" ht="21" customHeight="1" x14ac:dyDescent="0.3">
      <c r="A19" s="411" t="s">
        <v>81</v>
      </c>
      <c r="B19" s="435"/>
      <c r="C19" s="435"/>
      <c r="D19" s="436"/>
    </row>
    <row r="20" spans="1:6" ht="18.899999999999999" customHeight="1" x14ac:dyDescent="0.3">
      <c r="A20" s="414" t="s">
        <v>48</v>
      </c>
      <c r="B20" s="415"/>
      <c r="C20" s="416"/>
      <c r="D20" s="66">
        <v>1000000</v>
      </c>
    </row>
    <row r="21" spans="1:6" ht="18.899999999999999" customHeight="1" x14ac:dyDescent="0.3">
      <c r="A21" s="414" t="s">
        <v>165</v>
      </c>
      <c r="B21" s="415"/>
      <c r="C21" s="416"/>
      <c r="D21" s="66">
        <v>130000</v>
      </c>
    </row>
    <row r="22" spans="1:6" ht="18.899999999999999" customHeight="1" x14ac:dyDescent="0.3">
      <c r="A22" s="332" t="s">
        <v>166</v>
      </c>
      <c r="B22" s="333"/>
      <c r="C22" s="334"/>
      <c r="D22" s="66">
        <v>240000</v>
      </c>
    </row>
    <row r="23" spans="1:6" ht="18.899999999999999" customHeight="1" x14ac:dyDescent="0.3">
      <c r="A23" s="332" t="s">
        <v>167</v>
      </c>
      <c r="B23" s="333"/>
      <c r="C23" s="334"/>
      <c r="D23" s="66">
        <v>90000</v>
      </c>
    </row>
    <row r="24" spans="1:6" ht="18.899999999999999" customHeight="1" x14ac:dyDescent="0.3">
      <c r="A24" s="414" t="s">
        <v>169</v>
      </c>
      <c r="B24" s="415"/>
      <c r="C24" s="416"/>
      <c r="D24" s="66">
        <v>2400</v>
      </c>
    </row>
    <row r="25" spans="1:6" ht="18.899999999999999" customHeight="1" thickBot="1" x14ac:dyDescent="0.35">
      <c r="A25" s="414" t="s">
        <v>170</v>
      </c>
      <c r="B25" s="415"/>
      <c r="C25" s="416"/>
      <c r="D25" s="66">
        <v>140000</v>
      </c>
      <c r="F25" s="345"/>
    </row>
    <row r="26" spans="1:6" ht="21" customHeight="1" x14ac:dyDescent="0.3">
      <c r="A26" s="423" t="s">
        <v>82</v>
      </c>
      <c r="B26" s="424"/>
      <c r="C26" s="424"/>
      <c r="D26" s="425"/>
    </row>
    <row r="27" spans="1:6" ht="21" customHeight="1" x14ac:dyDescent="0.3">
      <c r="A27" s="420" t="s">
        <v>92</v>
      </c>
      <c r="B27" s="421"/>
      <c r="C27" s="422"/>
      <c r="D27" s="67"/>
    </row>
    <row r="28" spans="1:6" ht="27" customHeight="1" x14ac:dyDescent="0.3">
      <c r="A28" s="420" t="s">
        <v>295</v>
      </c>
      <c r="B28" s="421"/>
      <c r="C28" s="422"/>
      <c r="D28" s="346"/>
    </row>
    <row r="29" spans="1:6" ht="18" customHeight="1" x14ac:dyDescent="0.3">
      <c r="A29" s="409" t="s">
        <v>278</v>
      </c>
      <c r="B29" s="410"/>
      <c r="C29" s="410"/>
      <c r="D29" s="347">
        <f>45000*12</f>
        <v>540000</v>
      </c>
    </row>
    <row r="30" spans="1:6" ht="18" customHeight="1" x14ac:dyDescent="0.3">
      <c r="A30" s="409" t="s">
        <v>264</v>
      </c>
      <c r="B30" s="410"/>
      <c r="C30" s="410"/>
      <c r="D30" s="347">
        <v>10000</v>
      </c>
    </row>
    <row r="31" spans="1:6" ht="18" customHeight="1" x14ac:dyDescent="0.3">
      <c r="A31" s="409" t="s">
        <v>83</v>
      </c>
      <c r="B31" s="410"/>
      <c r="C31" s="410"/>
      <c r="D31" s="347">
        <v>240000</v>
      </c>
    </row>
    <row r="32" spans="1:6" ht="18.75" customHeight="1" x14ac:dyDescent="0.3">
      <c r="A32" s="437" t="s">
        <v>84</v>
      </c>
      <c r="B32" s="438"/>
      <c r="C32" s="438"/>
      <c r="D32" s="439"/>
    </row>
    <row r="33" spans="1:4" ht="18.75" customHeight="1" x14ac:dyDescent="0.3">
      <c r="A33" s="409" t="s">
        <v>292</v>
      </c>
      <c r="B33" s="410"/>
      <c r="C33" s="410"/>
      <c r="D33" s="66">
        <f>250*700</f>
        <v>175000</v>
      </c>
    </row>
    <row r="34" spans="1:4" ht="21" customHeight="1" x14ac:dyDescent="0.3">
      <c r="A34" s="409" t="s">
        <v>293</v>
      </c>
      <c r="B34" s="410"/>
      <c r="C34" s="410"/>
      <c r="D34" s="66">
        <v>200000</v>
      </c>
    </row>
    <row r="35" spans="1:4" ht="21" customHeight="1" x14ac:dyDescent="0.3">
      <c r="A35" s="417" t="s">
        <v>85</v>
      </c>
      <c r="B35" s="418"/>
      <c r="C35" s="418"/>
      <c r="D35" s="419"/>
    </row>
    <row r="36" spans="1:4" ht="18.899999999999999" customHeight="1" x14ac:dyDescent="0.3">
      <c r="A36" s="409" t="s">
        <v>164</v>
      </c>
      <c r="B36" s="410"/>
      <c r="C36" s="410"/>
      <c r="D36" s="347">
        <v>23000</v>
      </c>
    </row>
    <row r="37" spans="1:4" ht="18.899999999999999" customHeight="1" x14ac:dyDescent="0.3">
      <c r="A37" s="409" t="s">
        <v>266</v>
      </c>
      <c r="B37" s="410"/>
      <c r="C37" s="410"/>
      <c r="D37" s="347">
        <f>92500*4</f>
        <v>370000</v>
      </c>
    </row>
    <row r="38" spans="1:4" ht="18.899999999999999" customHeight="1" x14ac:dyDescent="0.3">
      <c r="A38" s="409" t="s">
        <v>267</v>
      </c>
      <c r="B38" s="410"/>
      <c r="C38" s="410"/>
      <c r="D38" s="348">
        <v>42500</v>
      </c>
    </row>
    <row r="39" spans="1:4" ht="18.899999999999999" customHeight="1" x14ac:dyDescent="0.3">
      <c r="A39" s="409" t="s">
        <v>277</v>
      </c>
      <c r="B39" s="410"/>
      <c r="C39" s="410"/>
      <c r="D39" s="348">
        <v>4500</v>
      </c>
    </row>
    <row r="40" spans="1:4" ht="18.899999999999999" customHeight="1" x14ac:dyDescent="0.3">
      <c r="A40" s="411" t="s">
        <v>86</v>
      </c>
      <c r="B40" s="412"/>
      <c r="C40" s="412"/>
      <c r="D40" s="413"/>
    </row>
    <row r="41" spans="1:4" ht="18.899999999999999" customHeight="1" x14ac:dyDescent="0.3">
      <c r="A41" s="409" t="s">
        <v>159</v>
      </c>
      <c r="B41" s="410"/>
      <c r="C41" s="410"/>
      <c r="D41" s="66">
        <v>100000</v>
      </c>
    </row>
    <row r="42" spans="1:4" ht="18.899999999999999" customHeight="1" x14ac:dyDescent="0.3">
      <c r="A42" s="409" t="s">
        <v>274</v>
      </c>
      <c r="B42" s="410"/>
      <c r="C42" s="410"/>
      <c r="D42" s="66">
        <v>30000</v>
      </c>
    </row>
    <row r="43" spans="1:4" ht="18.899999999999999" customHeight="1" x14ac:dyDescent="0.3">
      <c r="A43" s="409" t="s">
        <v>160</v>
      </c>
      <c r="B43" s="410"/>
      <c r="C43" s="410"/>
      <c r="D43" s="66">
        <v>60000</v>
      </c>
    </row>
    <row r="44" spans="1:4" ht="18.899999999999999" customHeight="1" x14ac:dyDescent="0.3">
      <c r="A44" s="409" t="s">
        <v>163</v>
      </c>
      <c r="B44" s="410"/>
      <c r="C44" s="410"/>
      <c r="D44" s="66">
        <v>50000</v>
      </c>
    </row>
    <row r="45" spans="1:4" ht="18.899999999999999" customHeight="1" x14ac:dyDescent="0.3">
      <c r="A45" s="409" t="s">
        <v>87</v>
      </c>
      <c r="B45" s="410"/>
      <c r="C45" s="410"/>
      <c r="D45" s="351">
        <v>18000</v>
      </c>
    </row>
    <row r="46" spans="1:4" ht="18.899999999999999" customHeight="1" x14ac:dyDescent="0.3">
      <c r="A46" s="411" t="s">
        <v>88</v>
      </c>
      <c r="B46" s="412"/>
      <c r="C46" s="412"/>
      <c r="D46" s="413"/>
    </row>
    <row r="47" spans="1:4" ht="18.899999999999999" customHeight="1" x14ac:dyDescent="0.3">
      <c r="A47" s="414" t="s">
        <v>265</v>
      </c>
      <c r="B47" s="415"/>
      <c r="C47" s="416"/>
      <c r="D47" s="66">
        <v>227000</v>
      </c>
    </row>
    <row r="48" spans="1:4" ht="18.899999999999999" customHeight="1" x14ac:dyDescent="0.3">
      <c r="A48" s="409" t="s">
        <v>93</v>
      </c>
      <c r="B48" s="410"/>
      <c r="C48" s="410"/>
      <c r="D48" s="347">
        <v>30000</v>
      </c>
    </row>
    <row r="49" spans="1:4" ht="18.899999999999999" customHeight="1" x14ac:dyDescent="0.3">
      <c r="A49" s="417" t="s">
        <v>89</v>
      </c>
      <c r="B49" s="418"/>
      <c r="C49" s="418"/>
      <c r="D49" s="419"/>
    </row>
    <row r="50" spans="1:4" ht="18.899999999999999" customHeight="1" thickBot="1" x14ac:dyDescent="0.35">
      <c r="A50" s="407" t="s">
        <v>280</v>
      </c>
      <c r="B50" s="408"/>
      <c r="C50" s="408"/>
      <c r="D50" s="321" t="s">
        <v>279</v>
      </c>
    </row>
  </sheetData>
  <mergeCells count="42">
    <mergeCell ref="A1:D1"/>
    <mergeCell ref="A2:D2"/>
    <mergeCell ref="A49:D49"/>
    <mergeCell ref="A50:C50"/>
    <mergeCell ref="A43:C43"/>
    <mergeCell ref="A44:C44"/>
    <mergeCell ref="A45:C45"/>
    <mergeCell ref="A46:D46"/>
    <mergeCell ref="A47:C47"/>
    <mergeCell ref="A48:C48"/>
    <mergeCell ref="A26:D26"/>
    <mergeCell ref="A27:C27"/>
    <mergeCell ref="A28:C28"/>
    <mergeCell ref="A21:C21"/>
    <mergeCell ref="A41:C41"/>
    <mergeCell ref="A30:C30"/>
    <mergeCell ref="A31:C31"/>
    <mergeCell ref="A32:D32"/>
    <mergeCell ref="A34:C34"/>
    <mergeCell ref="A35:D35"/>
    <mergeCell ref="A36:C36"/>
    <mergeCell ref="A37:C37"/>
    <mergeCell ref="A38:C38"/>
    <mergeCell ref="A39:C39"/>
    <mergeCell ref="A40:D40"/>
    <mergeCell ref="A33:C33"/>
    <mergeCell ref="A42:C42"/>
    <mergeCell ref="B9:D9"/>
    <mergeCell ref="B3:D3"/>
    <mergeCell ref="B4:D4"/>
    <mergeCell ref="B6:D6"/>
    <mergeCell ref="B7:D7"/>
    <mergeCell ref="B8:D8"/>
    <mergeCell ref="A29:C29"/>
    <mergeCell ref="B10:D10"/>
    <mergeCell ref="B11:D11"/>
    <mergeCell ref="B12:D12"/>
    <mergeCell ref="B13:D13"/>
    <mergeCell ref="A19:D19"/>
    <mergeCell ref="A20:C20"/>
    <mergeCell ref="A24:C24"/>
    <mergeCell ref="A25:C25"/>
  </mergeCells>
  <printOptions horizontalCentered="1" verticalCentered="1"/>
  <pageMargins left="0.19685039370078741" right="0.11811023622047245" top="0" bottom="0" header="0" footer="0"/>
  <pageSetup paperSize="9" scale="87" fitToWidth="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54"/>
  <sheetViews>
    <sheetView showZeros="0" topLeftCell="A52" zoomScale="120" workbookViewId="0">
      <selection activeCell="H59" sqref="H59"/>
    </sheetView>
  </sheetViews>
  <sheetFormatPr defaultColWidth="9.109375" defaultRowHeight="15" customHeight="1" x14ac:dyDescent="0.25"/>
  <cols>
    <col min="1" max="1" width="5" style="170" customWidth="1"/>
    <col min="2" max="2" width="11.6640625" style="76" customWidth="1"/>
    <col min="3" max="3" width="12.6640625" style="76" customWidth="1"/>
    <col min="4" max="7" width="11.6640625" style="76" customWidth="1"/>
    <col min="8" max="8" width="13.6640625" style="76" customWidth="1"/>
    <col min="9" max="9" width="13.6640625" style="150" customWidth="1"/>
    <col min="10" max="10" width="5.109375" style="76" customWidth="1"/>
    <col min="11" max="11" width="26.5546875" style="76" customWidth="1"/>
    <col min="12" max="12" width="10.5546875" style="76" customWidth="1"/>
    <col min="13" max="13" width="10.88671875" style="76" customWidth="1"/>
    <col min="14" max="16384" width="9.109375" style="76"/>
  </cols>
  <sheetData>
    <row r="1" spans="1:13" s="72" customFormat="1" ht="18" customHeight="1" x14ac:dyDescent="0.25">
      <c r="A1" s="458" t="s">
        <v>96</v>
      </c>
      <c r="B1" s="459"/>
      <c r="C1" s="459"/>
      <c r="D1" s="459"/>
      <c r="E1" s="459"/>
      <c r="F1" s="459"/>
      <c r="G1" s="464" t="s">
        <v>300</v>
      </c>
      <c r="H1" s="466" t="s">
        <v>97</v>
      </c>
      <c r="I1" s="466" t="s">
        <v>98</v>
      </c>
    </row>
    <row r="2" spans="1:13" ht="17.25" customHeight="1" thickBot="1" x14ac:dyDescent="0.3">
      <c r="A2" s="460" t="s">
        <v>99</v>
      </c>
      <c r="B2" s="461"/>
      <c r="C2" s="461"/>
      <c r="D2" s="461"/>
      <c r="E2" s="461"/>
      <c r="F2" s="461"/>
      <c r="G2" s="465"/>
      <c r="H2" s="467"/>
      <c r="I2" s="467"/>
      <c r="K2" s="83"/>
      <c r="L2" s="83"/>
      <c r="M2" s="83"/>
    </row>
    <row r="3" spans="1:13" ht="15" customHeight="1" x14ac:dyDescent="0.3">
      <c r="A3" s="77"/>
      <c r="B3" s="78" t="s">
        <v>100</v>
      </c>
      <c r="C3" s="79"/>
      <c r="D3" s="79"/>
      <c r="E3" s="79"/>
      <c r="F3" s="79"/>
      <c r="G3" s="80">
        <f>H2-I2</f>
        <v>0</v>
      </c>
      <c r="H3" s="81"/>
      <c r="I3" s="82"/>
      <c r="J3" s="83"/>
      <c r="K3" s="316" t="s">
        <v>48</v>
      </c>
      <c r="L3" s="317">
        <v>1000000</v>
      </c>
      <c r="M3" s="316"/>
    </row>
    <row r="4" spans="1:13" ht="15" customHeight="1" x14ac:dyDescent="0.3">
      <c r="A4" s="84"/>
      <c r="B4" s="85"/>
      <c r="C4" s="86" t="s">
        <v>168</v>
      </c>
      <c r="D4" s="83"/>
      <c r="E4" s="315"/>
      <c r="F4" s="83"/>
      <c r="G4" s="87">
        <f>L3+L4+L5+L6+L7+L8</f>
        <v>1602400</v>
      </c>
      <c r="H4" s="82"/>
      <c r="I4" s="82"/>
      <c r="J4" s="83"/>
      <c r="K4" s="316" t="s">
        <v>165</v>
      </c>
      <c r="L4" s="317">
        <v>130000</v>
      </c>
      <c r="M4" s="316"/>
    </row>
    <row r="5" spans="1:13" ht="15" customHeight="1" x14ac:dyDescent="0.3">
      <c r="A5" s="84"/>
      <c r="B5" s="85"/>
      <c r="C5" s="86" t="s">
        <v>101</v>
      </c>
      <c r="D5" s="83"/>
      <c r="E5" s="83"/>
      <c r="F5" s="83"/>
      <c r="G5" s="87"/>
      <c r="H5" s="82"/>
      <c r="I5" s="82"/>
      <c r="J5" s="83"/>
      <c r="K5" s="316" t="s">
        <v>166</v>
      </c>
      <c r="L5" s="317">
        <v>240000</v>
      </c>
      <c r="M5" s="316"/>
    </row>
    <row r="6" spans="1:13" ht="15" customHeight="1" x14ac:dyDescent="0.3">
      <c r="A6" s="84"/>
      <c r="B6" s="85"/>
      <c r="C6" s="86" t="s">
        <v>102</v>
      </c>
      <c r="D6" s="83"/>
      <c r="E6" s="83"/>
      <c r="F6" s="83"/>
      <c r="G6" s="88"/>
      <c r="H6" s="82"/>
      <c r="I6" s="82"/>
      <c r="J6" s="83"/>
      <c r="K6" s="316" t="s">
        <v>167</v>
      </c>
      <c r="L6" s="317">
        <v>90000</v>
      </c>
      <c r="M6" s="316"/>
    </row>
    <row r="7" spans="1:13" ht="15" customHeight="1" x14ac:dyDescent="0.3">
      <c r="A7" s="84"/>
      <c r="B7" s="89"/>
      <c r="C7" s="86"/>
      <c r="D7" s="83"/>
      <c r="E7" s="83"/>
      <c r="F7" s="90" t="s">
        <v>51</v>
      </c>
      <c r="G7" s="91">
        <f>G4+G5+G6</f>
        <v>1602400</v>
      </c>
      <c r="H7" s="82"/>
      <c r="I7" s="82"/>
      <c r="J7" s="83"/>
      <c r="K7" s="316" t="s">
        <v>169</v>
      </c>
      <c r="L7" s="317">
        <v>2400</v>
      </c>
      <c r="M7" s="316"/>
    </row>
    <row r="8" spans="1:13" ht="15" customHeight="1" x14ac:dyDescent="0.3">
      <c r="A8" s="84"/>
      <c r="B8" s="92"/>
      <c r="C8" s="93" t="s">
        <v>103</v>
      </c>
      <c r="D8" s="83"/>
      <c r="E8" s="83"/>
      <c r="F8" s="83"/>
      <c r="G8" s="88">
        <f>+L7*-1</f>
        <v>-2400</v>
      </c>
      <c r="H8" s="82"/>
      <c r="I8" s="82"/>
      <c r="J8" s="83"/>
      <c r="K8" s="316" t="s">
        <v>170</v>
      </c>
      <c r="L8" s="317">
        <v>140000</v>
      </c>
      <c r="M8" s="316"/>
    </row>
    <row r="9" spans="1:13" ht="15" customHeight="1" x14ac:dyDescent="0.25">
      <c r="A9" s="84"/>
      <c r="B9" s="89"/>
      <c r="C9" s="83"/>
      <c r="D9" s="83"/>
      <c r="E9" s="83"/>
      <c r="F9" s="94" t="s">
        <v>104</v>
      </c>
      <c r="G9" s="95">
        <f>G7+G8</f>
        <v>1600000</v>
      </c>
      <c r="H9" s="82"/>
      <c r="I9" s="82"/>
      <c r="J9" s="83"/>
      <c r="K9" s="83"/>
      <c r="L9" s="350">
        <f>SUM(L3:L8)</f>
        <v>1602400</v>
      </c>
      <c r="M9" s="83"/>
    </row>
    <row r="10" spans="1:13" ht="15" customHeight="1" x14ac:dyDescent="0.25">
      <c r="A10" s="84"/>
      <c r="B10" s="85"/>
      <c r="C10" s="96" t="s">
        <v>105</v>
      </c>
      <c r="D10" s="83"/>
      <c r="E10" s="83"/>
      <c r="F10" s="83"/>
      <c r="G10" s="88">
        <f>IF(G9&gt;50000,50000,0)*-1</f>
        <v>-50000</v>
      </c>
      <c r="H10" s="82">
        <f>G9+G10</f>
        <v>1550000</v>
      </c>
      <c r="I10" s="82">
        <f>G7</f>
        <v>1602400</v>
      </c>
      <c r="J10" s="83"/>
      <c r="K10" s="83"/>
      <c r="L10" s="83"/>
      <c r="M10" s="83"/>
    </row>
    <row r="11" spans="1:13" ht="15" customHeight="1" x14ac:dyDescent="0.25">
      <c r="A11" s="84"/>
      <c r="B11" s="97" t="s">
        <v>106</v>
      </c>
      <c r="C11" s="83"/>
      <c r="D11" s="83"/>
      <c r="E11" s="313" t="s">
        <v>268</v>
      </c>
      <c r="F11" s="98"/>
      <c r="G11" s="83"/>
      <c r="H11" s="82"/>
      <c r="I11" s="82"/>
      <c r="J11" s="83"/>
      <c r="K11" s="72"/>
      <c r="L11" s="72"/>
    </row>
    <row r="12" spans="1:13" ht="15" customHeight="1" x14ac:dyDescent="0.25">
      <c r="A12" s="84"/>
      <c r="B12" s="83"/>
      <c r="C12" s="86" t="s">
        <v>307</v>
      </c>
      <c r="D12" s="86"/>
      <c r="E12" s="100"/>
      <c r="F12" s="101"/>
      <c r="G12" s="102">
        <f>45000*12</f>
        <v>540000</v>
      </c>
      <c r="H12" s="82"/>
      <c r="I12" s="82"/>
      <c r="J12" s="83"/>
      <c r="K12" s="72"/>
      <c r="L12" s="72"/>
    </row>
    <row r="13" spans="1:13" ht="15" customHeight="1" x14ac:dyDescent="0.25">
      <c r="A13" s="84"/>
      <c r="B13" s="83"/>
      <c r="C13" s="103" t="s">
        <v>107</v>
      </c>
      <c r="D13" s="86"/>
      <c r="E13" s="100"/>
      <c r="F13" s="101"/>
      <c r="G13" s="104">
        <v>-10000</v>
      </c>
      <c r="H13" s="82"/>
      <c r="I13" s="82"/>
      <c r="J13" s="83"/>
      <c r="K13" s="72"/>
      <c r="L13" s="72"/>
    </row>
    <row r="14" spans="1:13" ht="15" customHeight="1" x14ac:dyDescent="0.25">
      <c r="A14" s="84"/>
      <c r="B14" s="83"/>
      <c r="C14" s="99"/>
      <c r="D14" s="86"/>
      <c r="E14" s="83"/>
      <c r="F14" s="101"/>
      <c r="G14" s="95">
        <f>G12+G13</f>
        <v>530000</v>
      </c>
      <c r="H14" s="82"/>
      <c r="I14" s="82"/>
      <c r="J14" s="83"/>
      <c r="K14" s="72"/>
      <c r="L14" s="72"/>
    </row>
    <row r="15" spans="1:13" ht="15" customHeight="1" x14ac:dyDescent="0.25">
      <c r="A15" s="84"/>
      <c r="B15" s="85"/>
      <c r="C15" s="105" t="s">
        <v>108</v>
      </c>
      <c r="D15" s="86"/>
      <c r="E15" s="83"/>
      <c r="F15" s="106" t="s">
        <v>109</v>
      </c>
      <c r="G15" s="83">
        <f>ROUND(G14*30%,0)*-1</f>
        <v>-159000</v>
      </c>
      <c r="H15" s="107"/>
      <c r="I15" s="82"/>
      <c r="J15" s="83"/>
      <c r="K15" s="72"/>
      <c r="L15" s="72"/>
    </row>
    <row r="16" spans="1:13" ht="15" customHeight="1" x14ac:dyDescent="0.25">
      <c r="A16" s="84"/>
      <c r="B16" s="85"/>
      <c r="C16" s="96" t="s">
        <v>110</v>
      </c>
      <c r="D16" s="83"/>
      <c r="E16" s="83"/>
      <c r="F16" s="108" t="s">
        <v>111</v>
      </c>
      <c r="G16" s="104">
        <v>-240000</v>
      </c>
      <c r="H16" s="82">
        <f>G14+G15+G16</f>
        <v>131000</v>
      </c>
      <c r="I16" s="82">
        <f>+H16</f>
        <v>131000</v>
      </c>
      <c r="J16" s="83"/>
      <c r="K16" s="72"/>
      <c r="L16" s="72"/>
    </row>
    <row r="17" spans="1:12" ht="15" hidden="1" customHeight="1" x14ac:dyDescent="0.25">
      <c r="A17" s="84"/>
      <c r="B17" s="89" t="s">
        <v>112</v>
      </c>
      <c r="C17" s="105"/>
      <c r="D17" s="83"/>
      <c r="E17" s="109"/>
      <c r="F17" s="98"/>
      <c r="G17" s="83"/>
      <c r="H17" s="82"/>
      <c r="I17" s="82"/>
      <c r="J17" s="83"/>
      <c r="K17" s="72"/>
      <c r="L17" s="72"/>
    </row>
    <row r="18" spans="1:12" ht="15" hidden="1" customHeight="1" x14ac:dyDescent="0.25">
      <c r="A18" s="84"/>
      <c r="B18" s="83"/>
      <c r="C18" s="105" t="s">
        <v>113</v>
      </c>
      <c r="D18" s="83"/>
      <c r="E18" s="109"/>
      <c r="F18" s="98"/>
      <c r="G18" s="102"/>
      <c r="H18" s="82"/>
      <c r="I18" s="82"/>
      <c r="J18" s="83"/>
      <c r="K18" s="72"/>
      <c r="L18" s="72"/>
    </row>
    <row r="19" spans="1:12" ht="15" hidden="1" customHeight="1" x14ac:dyDescent="0.25">
      <c r="A19" s="84"/>
      <c r="B19" s="83"/>
      <c r="C19" s="105" t="s">
        <v>114</v>
      </c>
      <c r="D19" s="83"/>
      <c r="E19" s="109"/>
      <c r="F19" s="98"/>
      <c r="G19" s="104"/>
      <c r="H19" s="110">
        <f>G18-G19</f>
        <v>0</v>
      </c>
      <c r="I19" s="110" t="str">
        <f>IF(H19&lt;&gt;0,0,"NIL")</f>
        <v>NIL</v>
      </c>
      <c r="J19" s="83"/>
      <c r="K19" s="72"/>
      <c r="L19" s="72"/>
    </row>
    <row r="20" spans="1:12" ht="15" customHeight="1" x14ac:dyDescent="0.25">
      <c r="A20" s="84"/>
      <c r="B20" s="111" t="s">
        <v>115</v>
      </c>
      <c r="C20" s="83"/>
      <c r="D20" s="83"/>
      <c r="E20" s="83"/>
      <c r="F20" s="83"/>
      <c r="G20" s="83"/>
      <c r="H20" s="82"/>
      <c r="I20" s="82"/>
      <c r="J20" s="83"/>
      <c r="K20" s="72"/>
      <c r="L20" s="72"/>
    </row>
    <row r="21" spans="1:12" ht="15" customHeight="1" x14ac:dyDescent="0.25">
      <c r="A21" s="84"/>
      <c r="B21" s="83"/>
      <c r="C21" s="105" t="s">
        <v>306</v>
      </c>
      <c r="D21" s="128"/>
      <c r="E21" s="360"/>
      <c r="F21" s="83"/>
      <c r="G21" s="102"/>
      <c r="H21" s="82"/>
      <c r="I21" s="82"/>
      <c r="J21" s="83"/>
    </row>
    <row r="22" spans="1:12" ht="15" customHeight="1" x14ac:dyDescent="0.25">
      <c r="A22" s="84"/>
      <c r="B22" s="83"/>
      <c r="C22" s="105" t="s">
        <v>117</v>
      </c>
      <c r="D22" s="83"/>
      <c r="E22" s="83"/>
      <c r="F22" s="83"/>
      <c r="G22" s="104"/>
      <c r="H22" s="82">
        <f>+G21</f>
        <v>0</v>
      </c>
      <c r="I22" s="82">
        <f>+H22</f>
        <v>0</v>
      </c>
      <c r="J22" s="83"/>
    </row>
    <row r="23" spans="1:12" ht="15" customHeight="1" x14ac:dyDescent="0.25">
      <c r="A23" s="84"/>
      <c r="B23" s="111" t="s">
        <v>118</v>
      </c>
      <c r="C23" s="83"/>
      <c r="D23" s="83"/>
      <c r="E23" s="83"/>
      <c r="F23" s="83"/>
      <c r="G23" s="83"/>
      <c r="H23" s="82"/>
      <c r="I23" s="82"/>
      <c r="J23" s="83"/>
    </row>
    <row r="24" spans="1:12" ht="15" customHeight="1" x14ac:dyDescent="0.25">
      <c r="A24" s="84"/>
      <c r="B24" s="112"/>
      <c r="C24" s="105" t="s">
        <v>119</v>
      </c>
      <c r="D24" s="85"/>
      <c r="E24" s="85"/>
      <c r="F24" s="83"/>
      <c r="G24" s="83"/>
      <c r="H24" s="82"/>
      <c r="I24" s="82"/>
      <c r="J24" s="83"/>
    </row>
    <row r="25" spans="1:12" ht="15" customHeight="1" x14ac:dyDescent="0.25">
      <c r="A25" s="84"/>
      <c r="B25" s="112"/>
      <c r="C25" s="113" t="s">
        <v>273</v>
      </c>
      <c r="D25" s="83"/>
      <c r="E25" s="83"/>
      <c r="F25" s="114">
        <v>15000</v>
      </c>
      <c r="G25" s="83"/>
      <c r="H25" s="82"/>
      <c r="I25" s="82"/>
      <c r="J25" s="83"/>
    </row>
    <row r="26" spans="1:12" ht="15" customHeight="1" x14ac:dyDescent="0.25">
      <c r="A26" s="84"/>
      <c r="B26" s="112"/>
      <c r="C26" s="113" t="s">
        <v>120</v>
      </c>
      <c r="D26" s="83"/>
      <c r="E26" s="83"/>
      <c r="F26" s="115">
        <v>8000</v>
      </c>
      <c r="G26" s="116">
        <f>SUM(F25:F26)</f>
        <v>23000</v>
      </c>
      <c r="H26" s="82"/>
      <c r="I26" s="82"/>
      <c r="J26" s="83"/>
    </row>
    <row r="27" spans="1:12" ht="15" customHeight="1" x14ac:dyDescent="0.25">
      <c r="A27" s="84"/>
      <c r="B27" s="112"/>
      <c r="C27" s="85" t="s">
        <v>121</v>
      </c>
      <c r="D27" s="83"/>
      <c r="E27" s="83"/>
      <c r="F27" s="83"/>
      <c r="G27" s="83"/>
      <c r="H27" s="82"/>
      <c r="I27" s="82"/>
      <c r="J27" s="83"/>
    </row>
    <row r="28" spans="1:12" ht="15" customHeight="1" x14ac:dyDescent="0.25">
      <c r="A28" s="84"/>
      <c r="B28" s="112"/>
      <c r="C28" s="113" t="s">
        <v>120</v>
      </c>
      <c r="D28" s="83"/>
      <c r="E28" s="83"/>
      <c r="G28" s="114">
        <v>400000</v>
      </c>
      <c r="H28" s="82"/>
      <c r="I28" s="82"/>
      <c r="J28" s="83"/>
    </row>
    <row r="29" spans="1:12" ht="15" customHeight="1" x14ac:dyDescent="0.3">
      <c r="A29" s="84"/>
      <c r="B29" s="314">
        <v>43997</v>
      </c>
      <c r="C29" s="117" t="s">
        <v>122</v>
      </c>
      <c r="D29" s="83"/>
      <c r="E29" s="83"/>
      <c r="F29" s="83"/>
      <c r="G29" s="114">
        <v>4500</v>
      </c>
      <c r="H29" s="82"/>
      <c r="I29" s="82"/>
      <c r="J29" s="83"/>
    </row>
    <row r="30" spans="1:12" ht="15" customHeight="1" x14ac:dyDescent="0.25">
      <c r="A30" s="84"/>
      <c r="B30" s="112"/>
      <c r="C30" s="117"/>
      <c r="D30" s="83"/>
      <c r="E30" s="83"/>
      <c r="F30" s="83"/>
      <c r="G30" s="119"/>
      <c r="H30" s="82">
        <f>SUM(G25:G30)</f>
        <v>427500</v>
      </c>
      <c r="I30" s="82">
        <f>+G26+G28+G29</f>
        <v>427500</v>
      </c>
      <c r="J30" s="83"/>
    </row>
    <row r="31" spans="1:12" ht="15" customHeight="1" x14ac:dyDescent="0.25">
      <c r="A31" s="84"/>
      <c r="B31" s="111" t="s">
        <v>123</v>
      </c>
      <c r="C31" s="83"/>
      <c r="D31" s="83"/>
      <c r="E31" s="83"/>
      <c r="F31" s="83"/>
      <c r="G31" s="95"/>
      <c r="H31" s="82"/>
      <c r="I31" s="82"/>
      <c r="J31" s="83"/>
    </row>
    <row r="32" spans="1:12" ht="15" customHeight="1" x14ac:dyDescent="0.25">
      <c r="A32" s="84"/>
      <c r="B32" s="89"/>
      <c r="C32" s="118" t="s">
        <v>285</v>
      </c>
      <c r="D32" s="83"/>
      <c r="E32" s="320">
        <v>42500</v>
      </c>
      <c r="G32" s="95"/>
      <c r="H32" s="82"/>
      <c r="I32" s="82"/>
      <c r="J32" s="83"/>
    </row>
    <row r="33" spans="1:13" ht="15" customHeight="1" x14ac:dyDescent="0.25">
      <c r="A33" s="84"/>
      <c r="B33" s="101"/>
      <c r="C33" s="120"/>
      <c r="D33" s="118"/>
      <c r="E33" s="83"/>
      <c r="F33" s="83"/>
      <c r="G33" s="95"/>
      <c r="H33" s="107"/>
      <c r="I33" s="107"/>
      <c r="J33" s="83"/>
    </row>
    <row r="34" spans="1:13" ht="18.75" customHeight="1" x14ac:dyDescent="0.25">
      <c r="A34" s="84"/>
      <c r="B34" s="111" t="s">
        <v>124</v>
      </c>
      <c r="C34" s="83"/>
      <c r="D34" s="83"/>
      <c r="E34" s="101"/>
      <c r="F34" s="101"/>
      <c r="G34" s="121"/>
      <c r="H34" s="122">
        <f>SUM(H4:H31)</f>
        <v>2108500</v>
      </c>
      <c r="I34" s="122">
        <f>SUM(I4:I31)</f>
        <v>2160900</v>
      </c>
      <c r="J34" s="83"/>
    </row>
    <row r="35" spans="1:13" ht="15" customHeight="1" x14ac:dyDescent="0.25">
      <c r="A35" s="84"/>
      <c r="B35" s="123" t="s">
        <v>125</v>
      </c>
      <c r="C35" s="83"/>
      <c r="D35" s="83"/>
      <c r="E35" s="83"/>
      <c r="F35" s="83"/>
      <c r="G35" s="83"/>
      <c r="H35" s="82"/>
      <c r="I35" s="82"/>
      <c r="J35" s="83"/>
    </row>
    <row r="36" spans="1:13" ht="15" customHeight="1" x14ac:dyDescent="0.25">
      <c r="A36" s="84"/>
      <c r="B36" s="124"/>
      <c r="C36" s="125" t="s">
        <v>275</v>
      </c>
      <c r="D36" s="83"/>
      <c r="E36" s="83"/>
      <c r="F36" s="83"/>
      <c r="G36" s="98"/>
      <c r="H36" s="82"/>
      <c r="I36" s="82"/>
      <c r="J36" s="83"/>
    </row>
    <row r="37" spans="1:13" ht="15" customHeight="1" x14ac:dyDescent="0.25">
      <c r="A37" s="84"/>
      <c r="B37" s="124"/>
      <c r="C37" s="126" t="s">
        <v>161</v>
      </c>
      <c r="D37" s="83"/>
      <c r="E37" s="83"/>
      <c r="F37" s="102">
        <v>60000</v>
      </c>
      <c r="G37" s="98"/>
      <c r="H37" s="82"/>
      <c r="I37" s="82"/>
      <c r="J37" s="83"/>
    </row>
    <row r="38" spans="1:13" ht="15" customHeight="1" x14ac:dyDescent="0.25">
      <c r="A38" s="84"/>
      <c r="B38" s="124"/>
      <c r="C38" s="126" t="s">
        <v>276</v>
      </c>
      <c r="D38" s="330" t="s">
        <v>286</v>
      </c>
      <c r="E38" s="83"/>
      <c r="F38" s="102">
        <f>30000-2400</f>
        <v>27600</v>
      </c>
      <c r="G38" s="98"/>
      <c r="H38" s="82"/>
      <c r="I38" s="82"/>
      <c r="J38" s="83"/>
    </row>
    <row r="39" spans="1:13" ht="15" customHeight="1" x14ac:dyDescent="0.25">
      <c r="A39" s="84"/>
      <c r="B39" s="124"/>
      <c r="C39" s="126" t="s">
        <v>162</v>
      </c>
      <c r="D39" s="83"/>
      <c r="E39" s="83"/>
      <c r="F39" s="102">
        <v>100000</v>
      </c>
      <c r="G39" s="98"/>
      <c r="H39" s="82"/>
      <c r="I39" s="82"/>
      <c r="J39" s="83"/>
    </row>
    <row r="40" spans="1:13" ht="15" customHeight="1" x14ac:dyDescent="0.25">
      <c r="A40" s="84"/>
      <c r="B40" s="124"/>
      <c r="C40" s="85"/>
      <c r="D40" s="83"/>
      <c r="E40" s="83"/>
      <c r="F40" s="127">
        <f>SUM(F37:F39)</f>
        <v>187600</v>
      </c>
      <c r="G40" s="83">
        <f>IF(F40&gt;150000,150000,F40)</f>
        <v>150000</v>
      </c>
      <c r="H40" s="82"/>
      <c r="I40" s="82"/>
      <c r="J40" s="83"/>
    </row>
    <row r="41" spans="1:13" ht="15" hidden="1" customHeight="1" x14ac:dyDescent="0.25">
      <c r="A41" s="84"/>
      <c r="B41" s="124"/>
      <c r="C41" s="125" t="s">
        <v>126</v>
      </c>
      <c r="D41" s="83"/>
      <c r="E41" s="83"/>
      <c r="F41" s="111"/>
      <c r="G41" s="102"/>
      <c r="H41" s="82"/>
      <c r="I41" s="82"/>
      <c r="J41" s="83"/>
    </row>
    <row r="42" spans="1:13" ht="15" hidden="1" customHeight="1" x14ac:dyDescent="0.25">
      <c r="A42" s="84"/>
      <c r="B42" s="124"/>
      <c r="C42" s="125" t="s">
        <v>127</v>
      </c>
      <c r="D42" s="83"/>
      <c r="E42" s="83"/>
      <c r="F42" s="111"/>
      <c r="G42" s="102"/>
      <c r="H42" s="82"/>
      <c r="I42" s="82"/>
      <c r="J42" s="83"/>
    </row>
    <row r="43" spans="1:13" ht="15" customHeight="1" x14ac:dyDescent="0.25">
      <c r="A43" s="84"/>
      <c r="B43" s="124"/>
      <c r="C43" s="125" t="s">
        <v>263</v>
      </c>
      <c r="D43" s="83"/>
      <c r="E43" s="318">
        <v>50000</v>
      </c>
      <c r="F43" s="111"/>
      <c r="G43" s="102"/>
      <c r="H43" s="82"/>
      <c r="I43" s="82"/>
      <c r="J43" s="83"/>
    </row>
    <row r="44" spans="1:13" ht="15" customHeight="1" x14ac:dyDescent="0.25">
      <c r="A44" s="84"/>
      <c r="B44" s="124"/>
      <c r="C44" s="125" t="s">
        <v>128</v>
      </c>
      <c r="D44" s="83"/>
      <c r="E44" s="318"/>
      <c r="F44" s="111"/>
      <c r="G44" s="102">
        <v>50000</v>
      </c>
      <c r="H44" s="82"/>
      <c r="I44" s="82"/>
      <c r="J44" s="83"/>
    </row>
    <row r="45" spans="1:13" ht="15" customHeight="1" x14ac:dyDescent="0.25">
      <c r="A45" s="84"/>
      <c r="B45" s="124"/>
      <c r="C45" s="125" t="s">
        <v>129</v>
      </c>
      <c r="D45" s="83"/>
      <c r="E45" s="318"/>
      <c r="F45" s="111"/>
      <c r="G45" s="102">
        <f>+L8</f>
        <v>140000</v>
      </c>
      <c r="H45" s="82"/>
      <c r="I45" s="82">
        <f>+G45</f>
        <v>140000</v>
      </c>
      <c r="J45" s="83"/>
    </row>
    <row r="46" spans="1:13" ht="15" customHeight="1" x14ac:dyDescent="0.25">
      <c r="A46" s="84"/>
      <c r="B46" s="124"/>
      <c r="C46" s="125" t="s">
        <v>50</v>
      </c>
      <c r="D46" s="83" t="s">
        <v>308</v>
      </c>
      <c r="E46" s="318">
        <v>32000</v>
      </c>
      <c r="F46" s="111"/>
      <c r="G46" s="102">
        <v>25000</v>
      </c>
      <c r="H46" s="82"/>
      <c r="I46" s="82"/>
      <c r="J46" s="83"/>
    </row>
    <row r="47" spans="1:13" ht="15" customHeight="1" x14ac:dyDescent="0.25">
      <c r="A47" s="84"/>
      <c r="B47" s="124"/>
      <c r="C47" s="125" t="s">
        <v>50</v>
      </c>
      <c r="D47" s="86" t="s">
        <v>309</v>
      </c>
      <c r="E47" s="318">
        <v>40000</v>
      </c>
      <c r="F47" s="111"/>
      <c r="G47" s="102">
        <v>40000</v>
      </c>
      <c r="H47" s="82"/>
      <c r="I47" s="82"/>
      <c r="J47" s="83"/>
    </row>
    <row r="48" spans="1:13" ht="15" customHeight="1" x14ac:dyDescent="0.25">
      <c r="A48" s="84"/>
      <c r="B48" s="83"/>
      <c r="C48" s="125" t="s">
        <v>130</v>
      </c>
      <c r="D48" s="105"/>
      <c r="E48" s="318"/>
      <c r="F48" s="101"/>
      <c r="G48" s="102">
        <v>10000</v>
      </c>
      <c r="H48" s="82"/>
      <c r="I48" s="82"/>
      <c r="J48" s="83"/>
      <c r="K48" s="129"/>
      <c r="L48" s="130" t="s">
        <v>131</v>
      </c>
      <c r="M48" s="130" t="s">
        <v>132</v>
      </c>
    </row>
    <row r="49" spans="1:13" ht="15" customHeight="1" x14ac:dyDescent="0.25">
      <c r="A49" s="84"/>
      <c r="B49" s="83"/>
      <c r="C49" s="125"/>
      <c r="D49" s="105"/>
      <c r="E49" s="101"/>
      <c r="F49" s="101"/>
      <c r="G49" s="104"/>
      <c r="H49" s="82">
        <f>SUM(G40:G49)</f>
        <v>415000</v>
      </c>
      <c r="I49" s="131"/>
      <c r="J49" s="83"/>
      <c r="K49" s="130" t="s">
        <v>133</v>
      </c>
      <c r="L49" s="132">
        <v>250000</v>
      </c>
      <c r="M49" s="132">
        <v>250000</v>
      </c>
    </row>
    <row r="50" spans="1:13" ht="21.75" customHeight="1" thickBot="1" x14ac:dyDescent="0.3">
      <c r="A50" s="84"/>
      <c r="B50" s="133" t="s">
        <v>134</v>
      </c>
      <c r="C50" s="83"/>
      <c r="D50" s="83"/>
      <c r="E50" s="134"/>
      <c r="F50" s="135" t="s">
        <v>135</v>
      </c>
      <c r="G50" s="136"/>
      <c r="H50" s="137">
        <f>IF((H34-H49)&lt;0,0,(H34-H49))</f>
        <v>1693500</v>
      </c>
      <c r="I50" s="137">
        <f>+I34-I45</f>
        <v>2020900</v>
      </c>
      <c r="J50" s="83"/>
      <c r="K50" s="138" t="s">
        <v>136</v>
      </c>
      <c r="L50" s="139">
        <v>300000</v>
      </c>
      <c r="M50" s="139">
        <v>250000</v>
      </c>
    </row>
    <row r="51" spans="1:13" ht="15" customHeight="1" thickTop="1" x14ac:dyDescent="0.25">
      <c r="A51" s="84"/>
      <c r="B51" s="111" t="s">
        <v>137</v>
      </c>
      <c r="C51" s="83"/>
      <c r="D51" s="83"/>
      <c r="E51" s="361"/>
      <c r="F51" s="141"/>
      <c r="G51" s="128"/>
      <c r="H51" s="107"/>
      <c r="I51" s="107"/>
      <c r="J51" s="83"/>
      <c r="K51" s="130" t="s">
        <v>138</v>
      </c>
      <c r="L51" s="142">
        <f>+M51</f>
        <v>0.05</v>
      </c>
      <c r="M51" s="142">
        <v>0.05</v>
      </c>
    </row>
    <row r="52" spans="1:13" ht="15" customHeight="1" x14ac:dyDescent="0.25">
      <c r="A52" s="84"/>
      <c r="B52" s="143"/>
      <c r="C52" s="105" t="s">
        <v>139</v>
      </c>
      <c r="D52" s="83"/>
      <c r="E52" s="144">
        <f>H50-E53</f>
        <v>1693500</v>
      </c>
      <c r="F52" s="128" t="s">
        <v>140</v>
      </c>
      <c r="G52" s="128"/>
      <c r="H52" s="107">
        <f>IF(+B52="Sr Citizen",ROUND(IF(E52&gt;1000000,(((E52-1000000)*0.3)+110000),IF(E52&gt;500000,(((E52-500000)*0.2)+10000),IF(E52&gt;300000,((E52-300000)*0.05),0))),0),ROUND(IF(E52&gt;1000000,(((E52-1000000)*0.3)+112500),IF(E52&gt;500000,(((E52-500000)*0.2)+12500),IF(E52&gt;250000,((E52-250000)*0.05),0))),0))</f>
        <v>320550</v>
      </c>
      <c r="I52" s="107">
        <f>ROUND(IF(I50&gt;1500000,(I50-1500000)*30%+187500,IF(I50&gt;1250000,(I50-1250000)*25%+125000,IF(I50&gt;1000000,(I50-1000000)*20%+75000,IF(I50&gt;750000,(I50-750000)*15%+37500,IF(I50&gt;500000,(I50-500000)*10%+12500, IF(I50&gt;250000,(I50-250000)*5%,0)))))),0)-(60000*0.3)</f>
        <v>325770</v>
      </c>
      <c r="J52" s="83"/>
      <c r="K52" s="145" t="s">
        <v>141</v>
      </c>
      <c r="L52" s="142">
        <v>0.2</v>
      </c>
      <c r="M52" s="142">
        <v>0.1</v>
      </c>
    </row>
    <row r="53" spans="1:13" ht="15" customHeight="1" x14ac:dyDescent="0.25">
      <c r="A53" s="84"/>
      <c r="B53" s="146"/>
      <c r="C53" s="105" t="s">
        <v>142</v>
      </c>
      <c r="D53" s="83"/>
      <c r="E53" s="144">
        <f>+H22</f>
        <v>0</v>
      </c>
      <c r="F53" s="147"/>
      <c r="G53" s="147"/>
      <c r="H53" s="107">
        <f>ROUND(E53*F53,0)</f>
        <v>0</v>
      </c>
      <c r="I53" s="107">
        <f>+H53</f>
        <v>0</v>
      </c>
      <c r="J53" s="83"/>
      <c r="K53" s="145" t="s">
        <v>143</v>
      </c>
      <c r="L53" s="142">
        <v>0.2</v>
      </c>
      <c r="M53" s="142">
        <v>0.15</v>
      </c>
    </row>
    <row r="54" spans="1:13" ht="15" customHeight="1" x14ac:dyDescent="0.25">
      <c r="A54" s="84"/>
      <c r="B54" s="105" t="s">
        <v>144</v>
      </c>
      <c r="C54" s="83"/>
      <c r="F54" s="83"/>
      <c r="G54" s="140"/>
      <c r="H54" s="107">
        <f>(IF(H50&gt;500000,0,IF((H52+H53)&gt;12500,12500,(H52+H53))))*-1</f>
        <v>0</v>
      </c>
      <c r="I54" s="107">
        <f>(IF(I50&gt;500000,0,IF((I52+I53)&gt;12500,12500,(I52+I53))))*-1</f>
        <v>0</v>
      </c>
      <c r="J54" s="83"/>
      <c r="K54" s="145" t="s">
        <v>145</v>
      </c>
      <c r="L54" s="142">
        <v>0.3</v>
      </c>
      <c r="M54" s="142">
        <v>0.2</v>
      </c>
    </row>
    <row r="55" spans="1:13" ht="15" customHeight="1" thickBot="1" x14ac:dyDescent="0.3">
      <c r="A55" s="84"/>
      <c r="B55" s="105" t="s">
        <v>146</v>
      </c>
      <c r="C55" s="149"/>
      <c r="D55" s="148"/>
      <c r="E55" s="101"/>
      <c r="F55" s="83"/>
      <c r="G55" s="150"/>
      <c r="H55" s="151">
        <f>IF(H50&gt;10000000,(H52+H53)*15%,IF(H52&gt;5000000,(H52+H53)*10%,0))</f>
        <v>0</v>
      </c>
      <c r="I55" s="151">
        <f>IF(I50&gt;10000000,(I52+I53)*15%,IF(I52&gt;5000000,(I52+I53)*10%,0))</f>
        <v>0</v>
      </c>
      <c r="J55" s="83"/>
      <c r="K55" s="145" t="s">
        <v>147</v>
      </c>
      <c r="L55" s="142">
        <v>0.3</v>
      </c>
      <c r="M55" s="142">
        <v>0.25</v>
      </c>
    </row>
    <row r="56" spans="1:13" ht="15" customHeight="1" x14ac:dyDescent="0.25">
      <c r="A56" s="84"/>
      <c r="B56" s="83"/>
      <c r="C56" s="149"/>
      <c r="D56" s="148"/>
      <c r="E56" s="101"/>
      <c r="F56" s="83"/>
      <c r="G56" s="150"/>
      <c r="H56" s="152">
        <f>SUM(H52:H55)</f>
        <v>320550</v>
      </c>
      <c r="I56" s="152">
        <f>SUM(I52:I55)</f>
        <v>325770</v>
      </c>
      <c r="J56" s="83"/>
      <c r="K56" s="145" t="s">
        <v>147</v>
      </c>
      <c r="L56" s="142">
        <v>0.3</v>
      </c>
      <c r="M56" s="142">
        <v>0.25</v>
      </c>
    </row>
    <row r="57" spans="1:13" ht="15" customHeight="1" x14ac:dyDescent="0.25">
      <c r="A57" s="84"/>
      <c r="B57" s="105" t="s">
        <v>148</v>
      </c>
      <c r="C57" s="83"/>
      <c r="D57" s="148"/>
      <c r="E57" s="101"/>
      <c r="F57" s="83"/>
      <c r="G57" s="101"/>
      <c r="H57" s="153">
        <f>ROUND((H56)*0.04,0)</f>
        <v>12822</v>
      </c>
      <c r="I57" s="153">
        <f>ROUND((I56)*0.04,0)</f>
        <v>13031</v>
      </c>
      <c r="J57" s="83"/>
      <c r="K57" s="130" t="s">
        <v>149</v>
      </c>
      <c r="L57" s="142">
        <v>0.3</v>
      </c>
      <c r="M57" s="142">
        <v>0.3</v>
      </c>
    </row>
    <row r="58" spans="1:13" ht="15" customHeight="1" x14ac:dyDescent="0.25">
      <c r="A58" s="84"/>
      <c r="B58" s="111" t="s">
        <v>150</v>
      </c>
      <c r="C58" s="83"/>
      <c r="D58" s="148"/>
      <c r="E58" s="154"/>
      <c r="F58" s="83"/>
      <c r="G58" s="101"/>
      <c r="H58" s="131">
        <f>SUM(H56:H57)</f>
        <v>333372</v>
      </c>
      <c r="I58" s="131">
        <f>SUM(I56:I57)</f>
        <v>338801</v>
      </c>
      <c r="J58" s="331">
        <f>I58-H58</f>
        <v>5429</v>
      </c>
      <c r="K58" s="129"/>
      <c r="L58" s="129"/>
      <c r="M58" s="129"/>
    </row>
    <row r="59" spans="1:13" ht="15" customHeight="1" x14ac:dyDescent="0.25">
      <c r="A59" s="84"/>
      <c r="B59" s="83" t="s">
        <v>151</v>
      </c>
      <c r="C59" s="101"/>
      <c r="D59" s="101"/>
      <c r="E59" s="101"/>
      <c r="F59" s="356">
        <v>44492</v>
      </c>
      <c r="G59" s="101"/>
      <c r="H59" s="155">
        <f>+H81</f>
        <v>15548</v>
      </c>
      <c r="I59" s="366"/>
      <c r="J59" s="83"/>
      <c r="K59" s="130"/>
      <c r="L59" s="129"/>
      <c r="M59" s="129"/>
    </row>
    <row r="60" spans="1:13" ht="15" customHeight="1" x14ac:dyDescent="0.25">
      <c r="A60" s="84"/>
      <c r="B60" s="111" t="s">
        <v>152</v>
      </c>
      <c r="C60" s="101"/>
      <c r="D60" s="101"/>
      <c r="E60" s="101"/>
      <c r="F60" s="101"/>
      <c r="G60" s="101"/>
      <c r="H60" s="156">
        <f>H58+H59</f>
        <v>348920</v>
      </c>
      <c r="I60" s="367">
        <f>I58+I59</f>
        <v>338801</v>
      </c>
      <c r="J60" s="83"/>
      <c r="K60" s="138"/>
    </row>
    <row r="61" spans="1:13" ht="15" customHeight="1" x14ac:dyDescent="0.25">
      <c r="A61" s="84"/>
      <c r="B61" s="111" t="s">
        <v>153</v>
      </c>
      <c r="C61" s="101"/>
      <c r="D61" s="101"/>
      <c r="E61" s="101"/>
      <c r="F61" s="101"/>
      <c r="G61" s="101"/>
      <c r="H61" s="156"/>
      <c r="I61" s="367"/>
      <c r="J61" s="83"/>
      <c r="K61" s="130"/>
    </row>
    <row r="62" spans="1:13" ht="15" hidden="1" customHeight="1" x14ac:dyDescent="0.3">
      <c r="A62" s="84"/>
      <c r="B62" s="83"/>
      <c r="C62" s="462" t="s">
        <v>299</v>
      </c>
      <c r="D62" s="462"/>
      <c r="E62" s="173"/>
      <c r="F62" s="173"/>
      <c r="G62" s="87"/>
      <c r="H62" s="82"/>
      <c r="I62" s="368"/>
      <c r="J62" s="83"/>
      <c r="K62" s="145"/>
    </row>
    <row r="63" spans="1:13" ht="15" customHeight="1" x14ac:dyDescent="0.3">
      <c r="A63" s="84"/>
      <c r="B63" s="174"/>
      <c r="C63" s="462" t="s">
        <v>155</v>
      </c>
      <c r="D63" s="462"/>
      <c r="E63" s="173"/>
      <c r="F63" s="173"/>
      <c r="G63" s="114">
        <v>200000</v>
      </c>
      <c r="H63" s="82"/>
      <c r="I63" s="368"/>
      <c r="J63" s="83"/>
      <c r="K63" s="145"/>
    </row>
    <row r="64" spans="1:13" ht="15" customHeight="1" x14ac:dyDescent="0.3">
      <c r="A64" s="84"/>
      <c r="B64" s="157"/>
      <c r="C64" s="462" t="s">
        <v>156</v>
      </c>
      <c r="D64" s="462"/>
      <c r="E64" s="158"/>
      <c r="F64" s="158"/>
      <c r="G64" s="114">
        <v>30000</v>
      </c>
      <c r="H64" s="82"/>
      <c r="I64" s="368"/>
      <c r="J64" s="83"/>
      <c r="K64" s="145"/>
    </row>
    <row r="65" spans="1:14" ht="15" customHeight="1" thickBot="1" x14ac:dyDescent="0.35">
      <c r="A65" s="159"/>
      <c r="B65" s="329">
        <v>44492</v>
      </c>
      <c r="C65" s="463" t="s">
        <v>298</v>
      </c>
      <c r="D65" s="463"/>
      <c r="E65" s="362"/>
      <c r="F65" s="362"/>
      <c r="G65" s="172">
        <f>H60-(G63+G64)-2</f>
        <v>118918</v>
      </c>
      <c r="H65" s="160">
        <f>SUM(G62:G65)</f>
        <v>348918</v>
      </c>
      <c r="I65" s="369">
        <f>+H65</f>
        <v>348918</v>
      </c>
      <c r="J65" s="83"/>
      <c r="K65" s="145"/>
    </row>
    <row r="66" spans="1:14" ht="17.25" customHeight="1" thickBot="1" x14ac:dyDescent="0.3">
      <c r="A66" s="161"/>
      <c r="B66" s="162" t="str">
        <f>IF(H66=0,"TAX  PAYABLE / REFUND ",IF(H66&lt;0,"REFUND","TAX  PAYABLE"))</f>
        <v>TAX  PAYABLE</v>
      </c>
      <c r="C66" s="163"/>
      <c r="D66" s="163"/>
      <c r="E66" s="164"/>
      <c r="F66" s="165" t="s">
        <v>158</v>
      </c>
      <c r="G66" s="164"/>
      <c r="H66" s="370" t="s">
        <v>0</v>
      </c>
      <c r="I66" s="369">
        <f>ROUND((I60-I65)/10,0)*10</f>
        <v>-10120</v>
      </c>
      <c r="J66" s="83"/>
      <c r="K66" s="145"/>
    </row>
    <row r="67" spans="1:14" s="168" customFormat="1" ht="15" customHeight="1" x14ac:dyDescent="0.2">
      <c r="A67" s="166"/>
      <c r="B67" s="167"/>
      <c r="I67" s="169"/>
      <c r="K67" s="130"/>
    </row>
    <row r="68" spans="1:14" ht="15" customHeight="1" thickBot="1" x14ac:dyDescent="0.3">
      <c r="G68" s="95"/>
    </row>
    <row r="69" spans="1:14" s="176" customFormat="1" ht="15" customHeight="1" x14ac:dyDescent="0.25">
      <c r="A69" s="190"/>
      <c r="B69" s="194"/>
      <c r="C69" s="195"/>
      <c r="D69" s="191"/>
      <c r="E69" s="181"/>
      <c r="F69" s="455" t="s">
        <v>9</v>
      </c>
      <c r="G69" s="455"/>
      <c r="H69" s="455"/>
      <c r="I69" s="191"/>
      <c r="J69" s="183"/>
      <c r="K69" s="456" t="s">
        <v>8</v>
      </c>
      <c r="L69" s="457"/>
      <c r="M69" s="196"/>
      <c r="N69" s="196"/>
    </row>
    <row r="70" spans="1:14" s="176" customFormat="1" ht="15" customHeight="1" x14ac:dyDescent="0.25">
      <c r="A70" s="190"/>
      <c r="B70" s="182"/>
      <c r="C70" s="197"/>
      <c r="D70" s="191"/>
      <c r="E70" s="181"/>
      <c r="F70" s="447" t="s">
        <v>281</v>
      </c>
      <c r="G70" s="447"/>
      <c r="H70" s="198">
        <f>I10+I16+I30</f>
        <v>2160900</v>
      </c>
      <c r="I70" s="191"/>
      <c r="J70" s="183"/>
      <c r="K70" s="199" t="s">
        <v>174</v>
      </c>
      <c r="L70" s="200" t="s">
        <v>0</v>
      </c>
      <c r="M70" s="201"/>
      <c r="N70" s="196"/>
    </row>
    <row r="71" spans="1:14" s="176" customFormat="1" ht="15" customHeight="1" x14ac:dyDescent="0.25">
      <c r="A71" s="186"/>
      <c r="B71" s="202"/>
      <c r="C71" s="203"/>
      <c r="E71" s="181"/>
      <c r="F71" s="448"/>
      <c r="G71" s="448"/>
      <c r="H71" s="189">
        <f>+I22</f>
        <v>0</v>
      </c>
      <c r="J71" s="183"/>
      <c r="K71" s="199" t="s">
        <v>5</v>
      </c>
      <c r="L71" s="204">
        <v>0.05</v>
      </c>
    </row>
    <row r="72" spans="1:14" s="176" customFormat="1" ht="15" customHeight="1" x14ac:dyDescent="0.25">
      <c r="A72" s="186"/>
      <c r="B72" s="205"/>
      <c r="C72" s="205"/>
      <c r="E72" s="181"/>
      <c r="F72" s="323"/>
      <c r="G72" s="325" t="s">
        <v>176</v>
      </c>
      <c r="H72" s="324">
        <f>SUM(H70:H71)</f>
        <v>2160900</v>
      </c>
      <c r="J72" s="183"/>
      <c r="K72" s="199" t="s">
        <v>4</v>
      </c>
      <c r="L72" s="204">
        <v>0.2</v>
      </c>
    </row>
    <row r="73" spans="1:14" s="176" customFormat="1" ht="15" customHeight="1" thickBot="1" x14ac:dyDescent="0.3">
      <c r="A73" s="186"/>
      <c r="B73" s="205"/>
      <c r="C73" s="206"/>
      <c r="E73" s="181"/>
      <c r="F73" s="177" t="s">
        <v>282</v>
      </c>
      <c r="H73" s="178">
        <f>+I45</f>
        <v>140000</v>
      </c>
      <c r="J73" s="183"/>
      <c r="K73" s="199" t="s">
        <v>3</v>
      </c>
      <c r="L73" s="204">
        <v>0.3</v>
      </c>
    </row>
    <row r="74" spans="1:14" s="176" customFormat="1" ht="15" customHeight="1" thickBot="1" x14ac:dyDescent="0.3">
      <c r="A74" s="186"/>
      <c r="B74" s="205"/>
      <c r="C74" s="206"/>
      <c r="E74" s="181"/>
      <c r="H74" s="207">
        <f>H72-H73</f>
        <v>2020900</v>
      </c>
      <c r="J74" s="183"/>
      <c r="K74" s="449" t="s">
        <v>9</v>
      </c>
      <c r="L74" s="450"/>
    </row>
    <row r="75" spans="1:14" s="176" customFormat="1" ht="15" customHeight="1" thickTop="1" x14ac:dyDescent="0.25">
      <c r="A75" s="186"/>
      <c r="B75" s="205"/>
      <c r="C75" s="206"/>
      <c r="E75" s="181"/>
      <c r="G75" s="208" t="s">
        <v>1</v>
      </c>
      <c r="H75" s="325" t="s">
        <v>283</v>
      </c>
      <c r="I75" s="192">
        <f>+I52</f>
        <v>325770</v>
      </c>
      <c r="J75" s="183"/>
      <c r="K75" s="210" t="s">
        <v>16</v>
      </c>
      <c r="L75" s="211" t="s">
        <v>0</v>
      </c>
    </row>
    <row r="76" spans="1:14" s="176" customFormat="1" ht="15" customHeight="1" x14ac:dyDescent="0.25">
      <c r="A76" s="186"/>
      <c r="B76" s="205"/>
      <c r="C76" s="206"/>
      <c r="E76" s="181"/>
      <c r="F76" s="185"/>
      <c r="H76" s="326" t="s">
        <v>284</v>
      </c>
      <c r="I76" s="327">
        <f>+I53</f>
        <v>0</v>
      </c>
      <c r="J76" s="183"/>
      <c r="K76" s="210" t="s">
        <v>5</v>
      </c>
      <c r="L76" s="212">
        <v>0.05</v>
      </c>
    </row>
    <row r="77" spans="1:14" s="176" customFormat="1" ht="15" customHeight="1" x14ac:dyDescent="0.25">
      <c r="A77" s="186"/>
      <c r="B77" s="205"/>
      <c r="C77" s="206"/>
      <c r="E77" s="181"/>
      <c r="F77" s="175"/>
      <c r="H77" s="193"/>
      <c r="I77" s="189">
        <f>I75+I76</f>
        <v>325770</v>
      </c>
      <c r="J77" s="183"/>
      <c r="K77" s="210" t="s">
        <v>7</v>
      </c>
      <c r="L77" s="212">
        <v>0.1</v>
      </c>
    </row>
    <row r="78" spans="1:14" s="176" customFormat="1" ht="15" customHeight="1" x14ac:dyDescent="0.25">
      <c r="A78" s="186"/>
      <c r="B78" s="205"/>
      <c r="C78" s="206"/>
      <c r="E78" s="181"/>
      <c r="F78" s="175"/>
      <c r="G78" s="208" t="s">
        <v>172</v>
      </c>
      <c r="H78" s="185">
        <v>0.04</v>
      </c>
      <c r="I78" s="176">
        <f>ROUND(I77*H78,0)</f>
        <v>13031</v>
      </c>
      <c r="J78" s="183"/>
      <c r="K78" s="210" t="s">
        <v>6</v>
      </c>
      <c r="L78" s="212">
        <v>0.15</v>
      </c>
    </row>
    <row r="79" spans="1:14" s="176" customFormat="1" ht="15" customHeight="1" thickBot="1" x14ac:dyDescent="0.3">
      <c r="A79" s="186"/>
      <c r="B79" s="205"/>
      <c r="C79" s="206"/>
      <c r="E79" s="181"/>
      <c r="F79" s="175"/>
      <c r="H79" s="213" t="s">
        <v>177</v>
      </c>
      <c r="I79" s="328">
        <f>SUM(I77:I78)</f>
        <v>338801</v>
      </c>
      <c r="J79" s="183"/>
      <c r="K79" s="210" t="s">
        <v>53</v>
      </c>
      <c r="L79" s="212">
        <v>0.2</v>
      </c>
    </row>
    <row r="80" spans="1:14" s="176" customFormat="1" ht="15" customHeight="1" thickTop="1" x14ac:dyDescent="0.25">
      <c r="A80" s="186"/>
      <c r="B80" s="205"/>
      <c r="C80" s="206"/>
      <c r="G80" s="208"/>
      <c r="J80" s="183"/>
      <c r="K80" s="210" t="s">
        <v>14</v>
      </c>
      <c r="L80" s="212">
        <v>0.25</v>
      </c>
    </row>
    <row r="81" spans="1:12" s="176" customFormat="1" ht="15" customHeight="1" thickBot="1" x14ac:dyDescent="0.3">
      <c r="A81" s="186"/>
      <c r="B81" s="214" t="s">
        <v>178</v>
      </c>
      <c r="C81" s="215"/>
      <c r="D81" s="215"/>
      <c r="E81" s="215"/>
      <c r="F81" s="215"/>
      <c r="G81" s="216" t="s">
        <v>179</v>
      </c>
      <c r="H81" s="217">
        <f>+H93+H105+H114</f>
        <v>15548</v>
      </c>
      <c r="J81" s="218"/>
      <c r="K81" s="210" t="s">
        <v>15</v>
      </c>
      <c r="L81" s="212">
        <v>0.3</v>
      </c>
    </row>
    <row r="82" spans="1:12" s="176" customFormat="1" ht="15" customHeight="1" x14ac:dyDescent="0.25">
      <c r="A82" s="186"/>
      <c r="B82" s="219" t="s">
        <v>180</v>
      </c>
      <c r="C82" s="220"/>
      <c r="D82" s="220"/>
      <c r="E82" s="220"/>
      <c r="F82" s="220"/>
      <c r="G82" s="221"/>
      <c r="H82" s="222"/>
      <c r="J82" s="218"/>
      <c r="K82" s="451" t="s">
        <v>10</v>
      </c>
      <c r="L82" s="452"/>
    </row>
    <row r="83" spans="1:12" s="176" customFormat="1" ht="15" customHeight="1" x14ac:dyDescent="0.25">
      <c r="A83" s="186"/>
      <c r="B83" s="223" t="s">
        <v>181</v>
      </c>
      <c r="C83" s="224"/>
      <c r="D83" s="224"/>
      <c r="E83" s="225">
        <f>+H58</f>
        <v>333372</v>
      </c>
      <c r="G83" s="224"/>
      <c r="I83" s="224"/>
      <c r="J83" s="224"/>
      <c r="K83" s="226" t="s">
        <v>12</v>
      </c>
      <c r="L83" s="227"/>
    </row>
    <row r="84" spans="1:12" s="176" customFormat="1" ht="15" customHeight="1" x14ac:dyDescent="0.25">
      <c r="A84" s="186"/>
      <c r="B84" s="223" t="s">
        <v>182</v>
      </c>
      <c r="C84" s="224"/>
      <c r="D84" s="224"/>
      <c r="E84" s="225">
        <f>+G63+G64</f>
        <v>230000</v>
      </c>
      <c r="G84" s="224"/>
      <c r="I84" s="224"/>
      <c r="J84" s="224"/>
      <c r="K84" s="226" t="s">
        <v>13</v>
      </c>
      <c r="L84" s="227"/>
    </row>
    <row r="85" spans="1:12" s="176" customFormat="1" ht="15" customHeight="1" thickBot="1" x14ac:dyDescent="0.3">
      <c r="A85" s="186"/>
      <c r="B85" s="223" t="s">
        <v>183</v>
      </c>
      <c r="C85" s="224"/>
      <c r="D85" s="224"/>
      <c r="E85" s="228">
        <f>E83-E84</f>
        <v>103372</v>
      </c>
      <c r="G85" s="224"/>
      <c r="I85" s="224"/>
      <c r="J85" s="224"/>
      <c r="K85" s="229" t="s">
        <v>11</v>
      </c>
      <c r="L85" s="230"/>
    </row>
    <row r="86" spans="1:12" s="176" customFormat="1" ht="15" customHeight="1" thickTop="1" x14ac:dyDescent="0.25">
      <c r="A86" s="186"/>
      <c r="C86" s="224"/>
      <c r="D86" s="224"/>
      <c r="E86" s="231">
        <f>IF(E85&gt;10000,E85,0)</f>
        <v>103372</v>
      </c>
      <c r="G86" s="224"/>
      <c r="J86" s="232"/>
      <c r="K86" s="232"/>
    </row>
    <row r="87" spans="1:12" s="176" customFormat="1" ht="25.5" customHeight="1" x14ac:dyDescent="0.25">
      <c r="A87" s="186"/>
      <c r="B87" s="233" t="s">
        <v>184</v>
      </c>
      <c r="C87" s="233" t="s">
        <v>185</v>
      </c>
      <c r="D87" s="233" t="s">
        <v>186</v>
      </c>
      <c r="E87" s="233" t="s">
        <v>171</v>
      </c>
      <c r="F87" s="234" t="s">
        <v>187</v>
      </c>
      <c r="G87" s="235" t="s">
        <v>188</v>
      </c>
      <c r="H87" s="233" t="s">
        <v>189</v>
      </c>
      <c r="J87" s="236"/>
      <c r="K87" s="237" t="s">
        <v>190</v>
      </c>
      <c r="L87" s="311" t="s">
        <v>191</v>
      </c>
    </row>
    <row r="88" spans="1:12" s="176" customFormat="1" ht="15" customHeight="1" x14ac:dyDescent="0.25">
      <c r="A88" s="238">
        <v>1</v>
      </c>
      <c r="B88" s="239"/>
      <c r="C88" s="240"/>
      <c r="D88" s="239">
        <v>43997</v>
      </c>
      <c r="E88" s="241">
        <f>E86*0.15</f>
        <v>15505.8</v>
      </c>
      <c r="F88" s="241">
        <f>ROUNDDOWN(+E88,-2)</f>
        <v>15500</v>
      </c>
      <c r="G88" s="241">
        <f>(F88-C88)</f>
        <v>15500</v>
      </c>
      <c r="H88" s="242">
        <f>IF(G88&gt;0,G88*0.12/12*3,0)</f>
        <v>465</v>
      </c>
      <c r="K88" s="237" t="s">
        <v>192</v>
      </c>
      <c r="L88" s="243" t="s">
        <v>193</v>
      </c>
    </row>
    <row r="89" spans="1:12" s="176" customFormat="1" ht="15" customHeight="1" x14ac:dyDescent="0.25">
      <c r="A89" s="238">
        <v>2</v>
      </c>
      <c r="B89" s="239"/>
      <c r="C89" s="240"/>
      <c r="D89" s="239">
        <v>44089</v>
      </c>
      <c r="E89" s="241">
        <f>E86*0.45</f>
        <v>46517.4</v>
      </c>
      <c r="F89" s="241">
        <f>ROUNDDOWN(+E89,-2)</f>
        <v>46500</v>
      </c>
      <c r="G89" s="241">
        <f>(F89-C89-C88)</f>
        <v>46500</v>
      </c>
      <c r="H89" s="242">
        <f>IF(G89&gt;0,G89*0.12/12*3,0)</f>
        <v>1395</v>
      </c>
      <c r="K89" s="244" t="s">
        <v>194</v>
      </c>
      <c r="L89" s="243" t="s">
        <v>195</v>
      </c>
    </row>
    <row r="90" spans="1:12" s="176" customFormat="1" ht="15" customHeight="1" x14ac:dyDescent="0.25">
      <c r="A90" s="238">
        <v>3</v>
      </c>
      <c r="B90" s="239"/>
      <c r="C90" s="240"/>
      <c r="D90" s="239">
        <v>44180</v>
      </c>
      <c r="E90" s="241">
        <f>E86*0.75</f>
        <v>77529</v>
      </c>
      <c r="F90" s="241">
        <f>ROUNDDOWN(+E90,-2)</f>
        <v>77500</v>
      </c>
      <c r="G90" s="241">
        <f>(F90-(C88+C89+C90))</f>
        <v>77500</v>
      </c>
      <c r="H90" s="242">
        <f>IF(G90&gt;0,G90*0.12/12*3,0)</f>
        <v>2325</v>
      </c>
      <c r="K90" s="244" t="s">
        <v>196</v>
      </c>
      <c r="L90" s="243" t="s">
        <v>197</v>
      </c>
    </row>
    <row r="91" spans="1:12" s="176" customFormat="1" ht="15" customHeight="1" x14ac:dyDescent="0.25">
      <c r="A91" s="238">
        <v>4</v>
      </c>
      <c r="B91" s="239"/>
      <c r="C91" s="240"/>
      <c r="D91" s="239">
        <v>44270</v>
      </c>
      <c r="E91" s="241">
        <f>E86*1</f>
        <v>103372</v>
      </c>
      <c r="F91" s="241">
        <f>ROUNDDOWN(+E91,-2)</f>
        <v>103300</v>
      </c>
      <c r="G91" s="241">
        <f>(F91-(C88+C89+C90+C91))</f>
        <v>103300</v>
      </c>
      <c r="H91" s="242">
        <f>IF(G91&gt;0,G91*0.12/12,0)</f>
        <v>1033</v>
      </c>
    </row>
    <row r="92" spans="1:12" s="176" customFormat="1" ht="15" customHeight="1" x14ac:dyDescent="0.25">
      <c r="A92" s="238">
        <v>5</v>
      </c>
      <c r="B92" s="239"/>
      <c r="C92" s="240"/>
      <c r="D92" s="239">
        <v>44286</v>
      </c>
      <c r="F92" s="245"/>
      <c r="G92" s="246"/>
      <c r="H92" s="189"/>
      <c r="I92" s="246"/>
      <c r="J92" s="246"/>
      <c r="K92" s="247"/>
    </row>
    <row r="93" spans="1:12" s="176" customFormat="1" ht="15" customHeight="1" thickBot="1" x14ac:dyDescent="0.3">
      <c r="A93" s="186"/>
      <c r="B93" s="224"/>
      <c r="C93" s="248">
        <f>SUM(C88:C92)</f>
        <v>0</v>
      </c>
      <c r="D93" s="224"/>
      <c r="E93" s="224"/>
      <c r="F93" s="224"/>
      <c r="G93" s="224"/>
      <c r="H93" s="249">
        <f>SUM(H88:H91)</f>
        <v>5218</v>
      </c>
    </row>
    <row r="94" spans="1:12" s="176" customFormat="1" ht="15" customHeight="1" thickTop="1" thickBot="1" x14ac:dyDescent="0.3">
      <c r="A94" s="250"/>
      <c r="B94" s="251"/>
      <c r="C94" s="252"/>
      <c r="D94" s="251"/>
      <c r="E94" s="251"/>
      <c r="F94" s="251"/>
      <c r="G94" s="251"/>
      <c r="H94" s="251"/>
    </row>
    <row r="95" spans="1:12" s="176" customFormat="1" ht="15" customHeight="1" x14ac:dyDescent="0.25">
      <c r="A95" s="186"/>
      <c r="B95" s="219" t="s">
        <v>198</v>
      </c>
      <c r="C95" s="253"/>
      <c r="D95" s="224"/>
      <c r="E95" s="224"/>
      <c r="F95" s="224"/>
      <c r="G95" s="224"/>
      <c r="H95" s="236" t="s">
        <v>189</v>
      </c>
    </row>
    <row r="96" spans="1:12" s="176" customFormat="1" ht="15" customHeight="1" x14ac:dyDescent="0.25">
      <c r="A96" s="186"/>
      <c r="B96" s="223" t="s">
        <v>181</v>
      </c>
      <c r="C96" s="224"/>
      <c r="D96" s="224"/>
      <c r="E96" s="225">
        <f>+E83</f>
        <v>333372</v>
      </c>
      <c r="F96" s="224"/>
      <c r="G96" s="254">
        <v>44287</v>
      </c>
      <c r="H96" s="255">
        <f>F102*0.01</f>
        <v>1033</v>
      </c>
    </row>
    <row r="97" spans="1:10" s="176" customFormat="1" ht="15" customHeight="1" x14ac:dyDescent="0.25">
      <c r="A97" s="186"/>
      <c r="B97" s="256" t="s">
        <v>182</v>
      </c>
      <c r="C97" s="224"/>
      <c r="D97" s="224"/>
      <c r="E97" s="225">
        <f>+E84*-1</f>
        <v>-230000</v>
      </c>
      <c r="F97" s="224"/>
      <c r="G97" s="254">
        <v>44317</v>
      </c>
      <c r="H97" s="255">
        <f>+H96</f>
        <v>1033</v>
      </c>
    </row>
    <row r="98" spans="1:10" s="176" customFormat="1" ht="15" customHeight="1" thickBot="1" x14ac:dyDescent="0.3">
      <c r="A98" s="186"/>
      <c r="B98" s="256"/>
      <c r="C98" s="224"/>
      <c r="D98" s="224"/>
      <c r="E98" s="228">
        <f>E96+E97</f>
        <v>103372</v>
      </c>
      <c r="G98" s="254">
        <v>44348</v>
      </c>
      <c r="H98" s="255">
        <f>+H97</f>
        <v>1033</v>
      </c>
    </row>
    <row r="99" spans="1:10" s="176" customFormat="1" ht="15" customHeight="1" thickTop="1" x14ac:dyDescent="0.25">
      <c r="A99" s="186"/>
      <c r="F99" s="224"/>
      <c r="G99" s="254">
        <v>44378</v>
      </c>
      <c r="H99" s="255">
        <f t="shared" ref="H99:H101" si="0">+H98</f>
        <v>1033</v>
      </c>
    </row>
    <row r="100" spans="1:10" s="176" customFormat="1" ht="15" customHeight="1" x14ac:dyDescent="0.25">
      <c r="A100" s="186"/>
      <c r="B100" s="224" t="s">
        <v>199</v>
      </c>
      <c r="C100" s="253"/>
      <c r="D100" s="257">
        <v>0.9</v>
      </c>
      <c r="E100" s="357">
        <f>ROUND(E98*90%,0)</f>
        <v>93035</v>
      </c>
      <c r="F100" s="358"/>
      <c r="G100" s="254">
        <v>44409</v>
      </c>
      <c r="H100" s="255">
        <f t="shared" si="0"/>
        <v>1033</v>
      </c>
    </row>
    <row r="101" spans="1:10" s="176" customFormat="1" ht="15" customHeight="1" x14ac:dyDescent="0.25">
      <c r="A101" s="186"/>
      <c r="B101" s="224" t="s">
        <v>200</v>
      </c>
      <c r="C101" s="253"/>
      <c r="D101" s="224"/>
      <c r="E101" s="359">
        <f>ROUND(+C93,0)</f>
        <v>0</v>
      </c>
      <c r="F101" s="358"/>
      <c r="G101" s="254">
        <v>44440</v>
      </c>
      <c r="H101" s="255">
        <f t="shared" si="0"/>
        <v>1033</v>
      </c>
    </row>
    <row r="102" spans="1:10" s="176" customFormat="1" ht="15" customHeight="1" x14ac:dyDescent="0.25">
      <c r="A102" s="186"/>
      <c r="B102" s="176" t="s">
        <v>201</v>
      </c>
      <c r="C102" s="253"/>
      <c r="D102" s="224"/>
      <c r="E102" s="359">
        <f>E98-E101</f>
        <v>103372</v>
      </c>
      <c r="F102" s="359">
        <f>ROUNDDOWN(E102,-2)</f>
        <v>103300</v>
      </c>
      <c r="G102" s="254">
        <v>44470</v>
      </c>
      <c r="H102" s="255">
        <f>+H101</f>
        <v>1033</v>
      </c>
    </row>
    <row r="103" spans="1:10" s="176" customFormat="1" ht="15" customHeight="1" x14ac:dyDescent="0.25">
      <c r="A103" s="186"/>
      <c r="B103" s="224"/>
      <c r="C103" s="253"/>
      <c r="D103" s="257"/>
      <c r="E103" s="258"/>
      <c r="F103" s="224"/>
      <c r="G103" s="254"/>
      <c r="H103" s="255"/>
    </row>
    <row r="104" spans="1:10" s="176" customFormat="1" ht="15" customHeight="1" x14ac:dyDescent="0.25">
      <c r="A104" s="186"/>
      <c r="B104" s="224"/>
      <c r="C104" s="253"/>
      <c r="D104" s="257"/>
      <c r="E104" s="258"/>
      <c r="F104" s="224"/>
      <c r="G104" s="254"/>
      <c r="H104" s="255"/>
    </row>
    <row r="105" spans="1:10" s="176" customFormat="1" ht="15" customHeight="1" thickBot="1" x14ac:dyDescent="0.3">
      <c r="A105" s="186"/>
      <c r="G105" s="259"/>
      <c r="H105" s="249">
        <f>SUM(H96:H104)</f>
        <v>7231</v>
      </c>
    </row>
    <row r="106" spans="1:10" s="176" customFormat="1" ht="15" customHeight="1" thickTop="1" thickBot="1" x14ac:dyDescent="0.3">
      <c r="A106" s="250"/>
      <c r="B106" s="260"/>
      <c r="C106" s="261"/>
      <c r="D106" s="260"/>
      <c r="E106" s="262"/>
      <c r="F106" s="263"/>
      <c r="G106" s="251"/>
      <c r="H106" s="264"/>
    </row>
    <row r="107" spans="1:10" s="176" customFormat="1" ht="15" customHeight="1" x14ac:dyDescent="0.25">
      <c r="A107" s="186"/>
      <c r="B107" s="219" t="s">
        <v>202</v>
      </c>
      <c r="C107" s="265"/>
      <c r="D107" s="265"/>
      <c r="E107" s="265"/>
      <c r="F107" s="265"/>
      <c r="G107" s="265"/>
      <c r="H107" s="265"/>
      <c r="I107" s="265"/>
      <c r="J107" s="253"/>
    </row>
    <row r="108" spans="1:10" s="176" customFormat="1" ht="15" customHeight="1" x14ac:dyDescent="0.25">
      <c r="A108" s="186"/>
      <c r="B108" s="223" t="s">
        <v>181</v>
      </c>
      <c r="C108" s="224"/>
      <c r="D108" s="224"/>
      <c r="E108" s="225">
        <f>+E83</f>
        <v>333372</v>
      </c>
      <c r="F108" s="265"/>
      <c r="G108" s="224"/>
      <c r="H108" s="236" t="s">
        <v>189</v>
      </c>
      <c r="I108" s="265"/>
      <c r="J108" s="253"/>
    </row>
    <row r="109" spans="1:10" s="176" customFormat="1" ht="15" customHeight="1" x14ac:dyDescent="0.25">
      <c r="A109" s="186"/>
      <c r="B109" s="256" t="s">
        <v>182</v>
      </c>
      <c r="C109" s="224"/>
      <c r="D109" s="224"/>
      <c r="E109" s="225">
        <f>-E84</f>
        <v>-230000</v>
      </c>
      <c r="F109" s="265"/>
      <c r="G109" s="254">
        <v>44409</v>
      </c>
      <c r="H109" s="255">
        <f>+E111*0.01</f>
        <v>1033</v>
      </c>
      <c r="I109" s="265"/>
      <c r="J109" s="253"/>
    </row>
    <row r="110" spans="1:10" s="176" customFormat="1" ht="15" customHeight="1" thickBot="1" x14ac:dyDescent="0.3">
      <c r="A110" s="186"/>
      <c r="B110" s="256"/>
      <c r="C110" s="224"/>
      <c r="D110" s="224"/>
      <c r="E110" s="228">
        <f>SUM(E108:E109)</f>
        <v>103372</v>
      </c>
      <c r="F110" s="265"/>
      <c r="G110" s="254">
        <v>44440</v>
      </c>
      <c r="H110" s="255">
        <f>+H109</f>
        <v>1033</v>
      </c>
      <c r="I110" s="265"/>
      <c r="J110" s="253"/>
    </row>
    <row r="111" spans="1:10" s="176" customFormat="1" ht="15" customHeight="1" thickTop="1" x14ac:dyDescent="0.25">
      <c r="A111" s="186"/>
      <c r="B111" s="256"/>
      <c r="C111" s="224"/>
      <c r="D111" s="224"/>
      <c r="E111" s="241">
        <f>ROUNDDOWN(+E110,-2)</f>
        <v>103300</v>
      </c>
      <c r="F111" s="265"/>
      <c r="G111" s="254">
        <v>44470</v>
      </c>
      <c r="H111" s="255">
        <f>+H109</f>
        <v>1033</v>
      </c>
      <c r="I111" s="265"/>
      <c r="J111" s="253"/>
    </row>
    <row r="112" spans="1:10" s="176" customFormat="1" ht="15" customHeight="1" x14ac:dyDescent="0.25">
      <c r="A112" s="186"/>
      <c r="B112" s="256"/>
      <c r="C112" s="224"/>
      <c r="D112" s="224"/>
      <c r="E112" s="225"/>
      <c r="F112" s="265"/>
      <c r="G112" s="254"/>
      <c r="H112" s="255"/>
      <c r="I112" s="265"/>
      <c r="J112" s="253"/>
    </row>
    <row r="113" spans="1:12" s="176" customFormat="1" ht="15" customHeight="1" x14ac:dyDescent="0.25">
      <c r="A113" s="186"/>
      <c r="B113" s="256"/>
      <c r="C113" s="224"/>
      <c r="D113" s="224"/>
      <c r="E113" s="225"/>
      <c r="F113" s="265"/>
      <c r="G113" s="254"/>
      <c r="H113" s="255"/>
      <c r="I113" s="265"/>
      <c r="J113" s="253"/>
    </row>
    <row r="114" spans="1:12" s="176" customFormat="1" ht="15" customHeight="1" thickBot="1" x14ac:dyDescent="0.3">
      <c r="A114" s="186"/>
      <c r="F114" s="265"/>
      <c r="G114" s="259"/>
      <c r="H114" s="249">
        <f>SUM(H109:H113)</f>
        <v>3099</v>
      </c>
      <c r="I114" s="265"/>
      <c r="J114" s="253"/>
    </row>
    <row r="115" spans="1:12" s="176" customFormat="1" ht="15" customHeight="1" thickTop="1" x14ac:dyDescent="0.25">
      <c r="A115" s="186"/>
      <c r="C115" s="224"/>
      <c r="D115" s="224"/>
      <c r="F115" s="265"/>
      <c r="G115" s="265"/>
      <c r="H115" s="265"/>
      <c r="I115" s="265"/>
      <c r="J115" s="253"/>
    </row>
    <row r="116" spans="1:12" s="176" customFormat="1" ht="15" customHeight="1" thickBot="1" x14ac:dyDescent="0.3">
      <c r="A116" s="186"/>
      <c r="C116" s="224"/>
      <c r="D116" s="224"/>
      <c r="E116" s="241"/>
      <c r="F116" s="265"/>
      <c r="G116" s="265"/>
      <c r="H116" s="265"/>
      <c r="I116" s="265"/>
      <c r="J116" s="253"/>
    </row>
    <row r="117" spans="1:12" s="269" customFormat="1" ht="15" customHeight="1" x14ac:dyDescent="0.25">
      <c r="A117" s="266" t="s">
        <v>203</v>
      </c>
      <c r="B117" s="267"/>
      <c r="C117" s="268"/>
      <c r="D117" s="268"/>
      <c r="E117" s="268"/>
      <c r="F117" s="268"/>
      <c r="G117" s="453" t="s">
        <v>204</v>
      </c>
      <c r="H117" s="454"/>
      <c r="J117" s="180"/>
      <c r="K117" s="176"/>
      <c r="L117" s="176"/>
    </row>
    <row r="118" spans="1:12" s="269" customFormat="1" ht="15" customHeight="1" x14ac:dyDescent="0.25">
      <c r="A118" s="271" t="s">
        <v>205</v>
      </c>
      <c r="B118" s="180"/>
      <c r="C118" s="188"/>
      <c r="D118" s="188"/>
      <c r="E118" s="188"/>
      <c r="F118" s="188"/>
      <c r="G118" s="180"/>
      <c r="H118" s="184"/>
      <c r="J118" s="180"/>
      <c r="K118" s="272"/>
      <c r="L118" s="270"/>
    </row>
    <row r="119" spans="1:12" s="269" customFormat="1" ht="15" customHeight="1" x14ac:dyDescent="0.25">
      <c r="A119" s="271" t="s">
        <v>206</v>
      </c>
      <c r="B119" s="180"/>
      <c r="C119" s="188"/>
      <c r="D119" s="188"/>
      <c r="E119" s="188"/>
      <c r="F119" s="188"/>
      <c r="G119" s="180"/>
      <c r="H119" s="184"/>
      <c r="J119" s="180"/>
      <c r="K119" s="272"/>
      <c r="L119" s="270"/>
    </row>
    <row r="120" spans="1:12" s="269" customFormat="1" ht="15" customHeight="1" x14ac:dyDescent="0.2">
      <c r="A120" s="273" t="s">
        <v>207</v>
      </c>
      <c r="B120" s="440" t="s">
        <v>208</v>
      </c>
      <c r="C120" s="440"/>
      <c r="D120" s="440"/>
      <c r="E120" s="440"/>
      <c r="F120" s="440"/>
      <c r="G120" s="440"/>
      <c r="H120" s="441"/>
      <c r="I120" s="208"/>
      <c r="K120" s="274" t="s">
        <v>209</v>
      </c>
      <c r="L120" s="270"/>
    </row>
    <row r="121" spans="1:12" s="269" customFormat="1" ht="26.25" customHeight="1" x14ac:dyDescent="0.2">
      <c r="A121" s="273" t="s">
        <v>210</v>
      </c>
      <c r="B121" s="440" t="s">
        <v>211</v>
      </c>
      <c r="C121" s="440"/>
      <c r="D121" s="440"/>
      <c r="E121" s="440"/>
      <c r="F121" s="440"/>
      <c r="G121" s="440"/>
      <c r="H121" s="441"/>
      <c r="I121" s="208"/>
      <c r="K121" s="274" t="s">
        <v>212</v>
      </c>
      <c r="L121" s="270"/>
    </row>
    <row r="122" spans="1:12" s="269" customFormat="1" ht="26.25" customHeight="1" x14ac:dyDescent="0.2">
      <c r="A122" s="273" t="s">
        <v>213</v>
      </c>
      <c r="B122" s="440" t="s">
        <v>214</v>
      </c>
      <c r="C122" s="440"/>
      <c r="D122" s="440"/>
      <c r="E122" s="440"/>
      <c r="F122" s="440"/>
      <c r="G122" s="440"/>
      <c r="H122" s="441"/>
      <c r="I122" s="208"/>
      <c r="K122" s="274" t="s">
        <v>215</v>
      </c>
      <c r="L122" s="270"/>
    </row>
    <row r="123" spans="1:12" s="269" customFormat="1" ht="26.25" customHeight="1" x14ac:dyDescent="0.2">
      <c r="A123" s="273" t="s">
        <v>216</v>
      </c>
      <c r="B123" s="440" t="s">
        <v>217</v>
      </c>
      <c r="C123" s="440"/>
      <c r="D123" s="440"/>
      <c r="E123" s="440"/>
      <c r="F123" s="440"/>
      <c r="G123" s="440"/>
      <c r="H123" s="441"/>
      <c r="I123" s="208"/>
      <c r="K123" s="274" t="s">
        <v>218</v>
      </c>
      <c r="L123" s="270"/>
    </row>
    <row r="124" spans="1:12" s="269" customFormat="1" ht="15" customHeight="1" x14ac:dyDescent="0.2">
      <c r="A124" s="273" t="s">
        <v>219</v>
      </c>
      <c r="B124" s="440" t="s">
        <v>220</v>
      </c>
      <c r="C124" s="440"/>
      <c r="D124" s="440"/>
      <c r="E124" s="440"/>
      <c r="F124" s="440"/>
      <c r="G124" s="440"/>
      <c r="H124" s="441"/>
      <c r="I124" s="208"/>
      <c r="K124" s="274" t="s">
        <v>221</v>
      </c>
      <c r="L124" s="270"/>
    </row>
    <row r="125" spans="1:12" s="269" customFormat="1" ht="15" customHeight="1" x14ac:dyDescent="0.2">
      <c r="A125" s="273" t="s">
        <v>222</v>
      </c>
      <c r="B125" s="440" t="s">
        <v>223</v>
      </c>
      <c r="C125" s="440"/>
      <c r="D125" s="440"/>
      <c r="E125" s="440"/>
      <c r="F125" s="440"/>
      <c r="G125" s="440"/>
      <c r="H125" s="441"/>
      <c r="I125" s="208"/>
      <c r="K125" s="274" t="s">
        <v>224</v>
      </c>
      <c r="L125" s="270"/>
    </row>
    <row r="126" spans="1:12" s="269" customFormat="1" ht="25.5" customHeight="1" x14ac:dyDescent="0.2">
      <c r="A126" s="275"/>
      <c r="B126" s="442" t="s">
        <v>225</v>
      </c>
      <c r="C126" s="442"/>
      <c r="D126" s="442"/>
      <c r="E126" s="442"/>
      <c r="F126" s="442"/>
      <c r="G126" s="442"/>
      <c r="H126" s="443"/>
      <c r="J126" s="276"/>
      <c r="K126" s="180"/>
    </row>
    <row r="127" spans="1:12" s="269" customFormat="1" ht="15" customHeight="1" thickBot="1" x14ac:dyDescent="0.25">
      <c r="A127" s="277"/>
      <c r="B127" s="444" t="s">
        <v>226</v>
      </c>
      <c r="C127" s="444"/>
      <c r="D127" s="444"/>
      <c r="E127" s="444"/>
      <c r="F127" s="444"/>
      <c r="G127" s="444"/>
      <c r="H127" s="278"/>
      <c r="J127" s="276"/>
    </row>
    <row r="128" spans="1:12" s="269" customFormat="1" ht="15" customHeight="1" thickBot="1" x14ac:dyDescent="0.25">
      <c r="A128" s="279"/>
      <c r="B128" s="312"/>
      <c r="C128" s="312"/>
      <c r="D128" s="312"/>
      <c r="E128" s="312"/>
      <c r="F128" s="312"/>
      <c r="G128" s="312"/>
      <c r="H128" s="180"/>
      <c r="J128" s="276"/>
    </row>
    <row r="129" spans="1:10" s="269" customFormat="1" ht="15" customHeight="1" x14ac:dyDescent="0.25">
      <c r="A129" s="266" t="s">
        <v>203</v>
      </c>
      <c r="B129" s="280"/>
      <c r="C129" s="280"/>
      <c r="D129" s="280"/>
      <c r="E129" s="280"/>
      <c r="F129" s="280"/>
      <c r="G129" s="445" t="s">
        <v>227</v>
      </c>
      <c r="H129" s="446"/>
      <c r="J129" s="276"/>
    </row>
    <row r="130" spans="1:10" s="176" customFormat="1" ht="15" customHeight="1" x14ac:dyDescent="0.25">
      <c r="A130" s="271" t="s">
        <v>228</v>
      </c>
      <c r="B130" s="177"/>
      <c r="C130" s="209"/>
      <c r="D130" s="209"/>
      <c r="E130" s="209"/>
      <c r="F130" s="281"/>
      <c r="G130" s="282"/>
      <c r="H130" s="187"/>
      <c r="J130" s="276"/>
    </row>
    <row r="131" spans="1:10" s="176" customFormat="1" ht="15" customHeight="1" x14ac:dyDescent="0.25">
      <c r="A131" s="271" t="s">
        <v>229</v>
      </c>
      <c r="B131" s="177"/>
      <c r="C131" s="209"/>
      <c r="D131" s="209"/>
      <c r="E131" s="209"/>
      <c r="F131" s="281"/>
      <c r="G131" s="282"/>
      <c r="H131" s="187"/>
      <c r="J131" s="276"/>
    </row>
    <row r="132" spans="1:10" s="176" customFormat="1" ht="15" customHeight="1" x14ac:dyDescent="0.25">
      <c r="A132" s="179"/>
      <c r="B132" s="283" t="s">
        <v>230</v>
      </c>
      <c r="C132" s="177"/>
      <c r="D132" s="284" t="s">
        <v>231</v>
      </c>
      <c r="E132" s="177"/>
      <c r="F132" s="281"/>
      <c r="G132" s="282"/>
      <c r="H132" s="187"/>
      <c r="J132" s="276"/>
    </row>
    <row r="133" spans="1:10" s="176" customFormat="1" ht="15" customHeight="1" x14ac:dyDescent="0.25">
      <c r="A133" s="179"/>
      <c r="B133" s="283" t="s">
        <v>232</v>
      </c>
      <c r="C133" s="177"/>
      <c r="D133" s="284" t="s">
        <v>233</v>
      </c>
      <c r="E133" s="177"/>
      <c r="F133" s="281"/>
      <c r="G133" s="282"/>
      <c r="H133" s="187"/>
      <c r="J133" s="276"/>
    </row>
    <row r="134" spans="1:10" s="176" customFormat="1" ht="15" customHeight="1" x14ac:dyDescent="0.25">
      <c r="A134" s="179"/>
      <c r="B134" s="283" t="s">
        <v>234</v>
      </c>
      <c r="C134" s="177"/>
      <c r="D134" s="284" t="s">
        <v>235</v>
      </c>
      <c r="E134" s="177"/>
      <c r="F134" s="281"/>
      <c r="G134" s="282"/>
      <c r="H134" s="187"/>
      <c r="J134" s="276"/>
    </row>
    <row r="135" spans="1:10" s="176" customFormat="1" ht="15" customHeight="1" x14ac:dyDescent="0.25">
      <c r="A135" s="179"/>
      <c r="B135" s="285" t="s">
        <v>236</v>
      </c>
      <c r="C135" s="177"/>
      <c r="D135" s="284" t="s">
        <v>237</v>
      </c>
      <c r="E135" s="177"/>
      <c r="F135" s="281"/>
      <c r="G135" s="282"/>
      <c r="H135" s="187"/>
      <c r="J135" s="276"/>
    </row>
    <row r="136" spans="1:10" s="176" customFormat="1" ht="15" customHeight="1" x14ac:dyDescent="0.25">
      <c r="A136" s="179"/>
      <c r="B136" s="283" t="s">
        <v>238</v>
      </c>
      <c r="C136" s="177"/>
      <c r="D136" s="284" t="s">
        <v>239</v>
      </c>
      <c r="E136" s="177"/>
      <c r="F136" s="281"/>
      <c r="G136" s="282"/>
      <c r="H136" s="187"/>
      <c r="J136" s="276"/>
    </row>
    <row r="137" spans="1:10" s="176" customFormat="1" ht="15" customHeight="1" x14ac:dyDescent="0.25">
      <c r="A137" s="179"/>
      <c r="B137" s="283" t="s">
        <v>240</v>
      </c>
      <c r="C137" s="177"/>
      <c r="D137" s="284" t="s">
        <v>241</v>
      </c>
      <c r="E137" s="177"/>
      <c r="F137" s="281"/>
      <c r="G137" s="282"/>
      <c r="H137" s="187"/>
    </row>
    <row r="138" spans="1:10" s="176" customFormat="1" ht="15" customHeight="1" x14ac:dyDescent="0.25">
      <c r="A138" s="179"/>
      <c r="B138" s="285" t="s">
        <v>242</v>
      </c>
      <c r="C138" s="177"/>
      <c r="D138" s="284" t="s">
        <v>243</v>
      </c>
      <c r="E138" s="177"/>
      <c r="F138" s="281"/>
      <c r="G138" s="282"/>
      <c r="H138" s="187"/>
    </row>
    <row r="139" spans="1:10" s="176" customFormat="1" ht="15" customHeight="1" thickBot="1" x14ac:dyDescent="0.3">
      <c r="A139" s="286"/>
      <c r="B139" s="287" t="s">
        <v>244</v>
      </c>
      <c r="C139" s="260"/>
      <c r="D139" s="288" t="s">
        <v>245</v>
      </c>
      <c r="E139" s="260"/>
      <c r="F139" s="260"/>
      <c r="G139" s="260"/>
      <c r="H139" s="289"/>
    </row>
    <row r="140" spans="1:10" s="176" customFormat="1" ht="15" customHeight="1" thickBot="1" x14ac:dyDescent="0.3">
      <c r="A140" s="186"/>
    </row>
    <row r="141" spans="1:10" s="176" customFormat="1" ht="15" customHeight="1" x14ac:dyDescent="0.25">
      <c r="A141" s="290"/>
      <c r="B141" s="291" t="s">
        <v>246</v>
      </c>
      <c r="C141" s="292"/>
      <c r="D141" s="293"/>
      <c r="E141" s="294" t="s">
        <v>247</v>
      </c>
      <c r="F141" s="295"/>
      <c r="G141" s="296" t="s">
        <v>248</v>
      </c>
      <c r="H141" s="297"/>
    </row>
    <row r="142" spans="1:10" s="176" customFormat="1" ht="15" customHeight="1" x14ac:dyDescent="0.25">
      <c r="A142" s="290"/>
      <c r="B142" s="298" t="s">
        <v>48</v>
      </c>
      <c r="C142" s="299"/>
      <c r="D142" s="300"/>
      <c r="E142" s="301" t="s">
        <v>249</v>
      </c>
      <c r="F142" s="177"/>
      <c r="G142" s="301" t="s">
        <v>250</v>
      </c>
      <c r="H142" s="187"/>
    </row>
    <row r="143" spans="1:10" s="176" customFormat="1" ht="15" customHeight="1" x14ac:dyDescent="0.25">
      <c r="A143" s="290"/>
      <c r="B143" s="298" t="s">
        <v>251</v>
      </c>
      <c r="C143" s="299"/>
      <c r="D143" s="300"/>
      <c r="E143" s="301" t="s">
        <v>252</v>
      </c>
      <c r="F143" s="177"/>
      <c r="G143" s="301" t="s">
        <v>253</v>
      </c>
      <c r="H143" s="187"/>
    </row>
    <row r="144" spans="1:10" s="176" customFormat="1" ht="15" customHeight="1" x14ac:dyDescent="0.25">
      <c r="A144" s="290"/>
      <c r="B144" s="298" t="s">
        <v>173</v>
      </c>
      <c r="C144" s="299"/>
      <c r="D144" s="300"/>
      <c r="E144" s="301" t="s">
        <v>254</v>
      </c>
      <c r="F144" s="177"/>
      <c r="G144" s="177"/>
      <c r="H144" s="187"/>
    </row>
    <row r="145" spans="1:8" s="176" customFormat="1" ht="15" customHeight="1" x14ac:dyDescent="0.25">
      <c r="A145" s="290"/>
      <c r="B145" s="298" t="s">
        <v>49</v>
      </c>
      <c r="C145" s="299"/>
      <c r="D145" s="300"/>
      <c r="E145" s="301" t="s">
        <v>255</v>
      </c>
      <c r="F145" s="177"/>
      <c r="G145" s="177"/>
      <c r="H145" s="187"/>
    </row>
    <row r="146" spans="1:8" s="176" customFormat="1" ht="15" customHeight="1" x14ac:dyDescent="0.25">
      <c r="A146" s="290"/>
      <c r="B146" s="298" t="s">
        <v>52</v>
      </c>
      <c r="C146" s="299"/>
      <c r="D146" s="300"/>
      <c r="E146" s="177"/>
      <c r="F146" s="177"/>
      <c r="G146" s="177"/>
      <c r="H146" s="187"/>
    </row>
    <row r="147" spans="1:8" s="176" customFormat="1" ht="15" customHeight="1" x14ac:dyDescent="0.25">
      <c r="A147" s="290"/>
      <c r="B147" s="298" t="s">
        <v>256</v>
      </c>
      <c r="C147" s="299"/>
      <c r="D147" s="300"/>
      <c r="E147" s="177"/>
      <c r="F147" s="177"/>
      <c r="G147" s="177"/>
      <c r="H147" s="187"/>
    </row>
    <row r="148" spans="1:8" s="176" customFormat="1" ht="15" customHeight="1" x14ac:dyDescent="0.25">
      <c r="A148" s="290"/>
      <c r="B148" s="298" t="s">
        <v>257</v>
      </c>
      <c r="C148" s="299"/>
      <c r="D148" s="302">
        <f>SUM(C142:C148)</f>
        <v>0</v>
      </c>
      <c r="E148" s="177"/>
      <c r="F148" s="177"/>
      <c r="G148" s="177"/>
      <c r="H148" s="187"/>
    </row>
    <row r="149" spans="1:8" s="176" customFormat="1" ht="15" customHeight="1" x14ac:dyDescent="0.25">
      <c r="A149" s="290"/>
      <c r="B149" s="303" t="s">
        <v>258</v>
      </c>
      <c r="C149" s="299"/>
      <c r="D149" s="304"/>
      <c r="E149" s="305"/>
      <c r="F149" s="177"/>
      <c r="G149" s="177"/>
      <c r="H149" s="187"/>
    </row>
    <row r="150" spans="1:8" s="176" customFormat="1" ht="15" customHeight="1" x14ac:dyDescent="0.25">
      <c r="A150" s="290"/>
      <c r="B150" s="298" t="s">
        <v>259</v>
      </c>
      <c r="C150" s="306"/>
      <c r="D150" s="304"/>
      <c r="E150" s="177"/>
      <c r="F150" s="177"/>
      <c r="G150" s="177"/>
      <c r="H150" s="187"/>
    </row>
    <row r="151" spans="1:8" s="176" customFormat="1" ht="15" customHeight="1" x14ac:dyDescent="0.25">
      <c r="A151" s="290"/>
      <c r="B151" s="298" t="s">
        <v>260</v>
      </c>
      <c r="C151" s="306"/>
      <c r="D151" s="304"/>
      <c r="E151" s="177"/>
      <c r="F151" s="177"/>
      <c r="G151" s="177"/>
      <c r="H151" s="187"/>
    </row>
    <row r="152" spans="1:8" s="176" customFormat="1" ht="15" customHeight="1" x14ac:dyDescent="0.25">
      <c r="A152" s="290"/>
      <c r="B152" s="298" t="s">
        <v>261</v>
      </c>
      <c r="C152" s="306"/>
      <c r="D152" s="304">
        <f>SUM(C150:C152)</f>
        <v>0</v>
      </c>
      <c r="E152" s="177"/>
      <c r="F152" s="177"/>
      <c r="G152" s="177"/>
      <c r="H152" s="187"/>
    </row>
    <row r="153" spans="1:8" s="176" customFormat="1" ht="15" customHeight="1" thickBot="1" x14ac:dyDescent="0.3">
      <c r="A153" s="290"/>
      <c r="B153" s="307" t="s">
        <v>262</v>
      </c>
      <c r="C153" s="308"/>
      <c r="D153" s="309"/>
      <c r="E153" s="260"/>
      <c r="F153" s="260"/>
      <c r="G153" s="260"/>
      <c r="H153" s="289"/>
    </row>
    <row r="154" spans="1:8" s="176" customFormat="1" ht="15" customHeight="1" x14ac:dyDescent="0.25">
      <c r="A154" s="290"/>
      <c r="B154" s="304"/>
      <c r="D154" s="310">
        <f>D148+D152+D153</f>
        <v>0</v>
      </c>
    </row>
  </sheetData>
  <mergeCells count="25">
    <mergeCell ref="F69:H69"/>
    <mergeCell ref="K69:L69"/>
    <mergeCell ref="A1:F1"/>
    <mergeCell ref="A2:F2"/>
    <mergeCell ref="C62:D62"/>
    <mergeCell ref="C63:D63"/>
    <mergeCell ref="C64:D64"/>
    <mergeCell ref="C65:D65"/>
    <mergeCell ref="G1:G2"/>
    <mergeCell ref="H1:H2"/>
    <mergeCell ref="I1:I2"/>
    <mergeCell ref="F70:G70"/>
    <mergeCell ref="F71:G71"/>
    <mergeCell ref="K74:L74"/>
    <mergeCell ref="K82:L82"/>
    <mergeCell ref="G117:H117"/>
    <mergeCell ref="B125:H125"/>
    <mergeCell ref="B126:H126"/>
    <mergeCell ref="B127:G127"/>
    <mergeCell ref="G129:H129"/>
    <mergeCell ref="B120:H120"/>
    <mergeCell ref="B121:H121"/>
    <mergeCell ref="B122:H122"/>
    <mergeCell ref="B123:H123"/>
    <mergeCell ref="B124:H124"/>
  </mergeCells>
  <printOptions horizontalCentered="1" verticalCentered="1"/>
  <pageMargins left="0.19685039370078741" right="0.19685039370078741" top="0.19685039370078741" bottom="0.19685039370078741" header="0" footer="0"/>
  <pageSetup paperSize="9"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54"/>
  <sheetViews>
    <sheetView showZeros="0" topLeftCell="A47" zoomScale="120" workbookViewId="0">
      <selection activeCell="B65" sqref="B65"/>
    </sheetView>
  </sheetViews>
  <sheetFormatPr defaultColWidth="9.109375" defaultRowHeight="15" customHeight="1" x14ac:dyDescent="0.25"/>
  <cols>
    <col min="1" max="1" width="5" style="170" customWidth="1"/>
    <col min="2" max="2" width="11.6640625" style="76" customWidth="1"/>
    <col min="3" max="3" width="12.6640625" style="76" customWidth="1"/>
    <col min="4" max="7" width="11.6640625" style="76" customWidth="1"/>
    <col min="8" max="8" width="13.6640625" style="76" customWidth="1"/>
    <col min="9" max="9" width="13.6640625" style="150" customWidth="1"/>
    <col min="10" max="10" width="5.109375" style="76" customWidth="1"/>
    <col min="11" max="11" width="26.5546875" style="76" customWidth="1"/>
    <col min="12" max="12" width="10.5546875" style="76" customWidth="1"/>
    <col min="13" max="13" width="10.88671875" style="76" customWidth="1"/>
    <col min="14" max="16384" width="9.109375" style="76"/>
  </cols>
  <sheetData>
    <row r="1" spans="1:13" s="72" customFormat="1" ht="18" customHeight="1" x14ac:dyDescent="0.25">
      <c r="A1" s="458" t="s">
        <v>96</v>
      </c>
      <c r="B1" s="459"/>
      <c r="C1" s="459"/>
      <c r="D1" s="459"/>
      <c r="E1" s="459"/>
      <c r="F1" s="459"/>
      <c r="G1" s="322" t="str">
        <f>IF(G3=0,"Any",IF(G3&lt;0,"Opt-Old","Opt-New"))</f>
        <v>Opt-New</v>
      </c>
      <c r="H1" s="70" t="s">
        <v>97</v>
      </c>
      <c r="I1" s="71" t="s">
        <v>98</v>
      </c>
    </row>
    <row r="2" spans="1:13" ht="17.25" customHeight="1" thickBot="1" x14ac:dyDescent="0.3">
      <c r="A2" s="460" t="s">
        <v>99</v>
      </c>
      <c r="B2" s="461"/>
      <c r="C2" s="461"/>
      <c r="D2" s="461"/>
      <c r="E2" s="461"/>
      <c r="F2" s="461"/>
      <c r="G2" s="73">
        <v>28426</v>
      </c>
      <c r="H2" s="74">
        <f>+H66</f>
        <v>0</v>
      </c>
      <c r="I2" s="75">
        <f>+I66</f>
        <v>-9620</v>
      </c>
      <c r="K2" s="83"/>
      <c r="L2" s="83"/>
      <c r="M2" s="83"/>
    </row>
    <row r="3" spans="1:13" ht="15" customHeight="1" x14ac:dyDescent="0.3">
      <c r="A3" s="77"/>
      <c r="B3" s="78" t="s">
        <v>100</v>
      </c>
      <c r="C3" s="79"/>
      <c r="D3" s="79"/>
      <c r="E3" s="79"/>
      <c r="F3" s="79"/>
      <c r="G3" s="80">
        <f>H2-I2</f>
        <v>9620</v>
      </c>
      <c r="H3" s="81"/>
      <c r="I3" s="82"/>
      <c r="J3" s="83"/>
      <c r="K3" s="316" t="s">
        <v>48</v>
      </c>
      <c r="L3" s="317">
        <v>1000000</v>
      </c>
      <c r="M3" s="316"/>
    </row>
    <row r="4" spans="1:13" ht="15" customHeight="1" x14ac:dyDescent="0.3">
      <c r="A4" s="84"/>
      <c r="B4" s="85"/>
      <c r="C4" s="86" t="s">
        <v>168</v>
      </c>
      <c r="D4" s="83"/>
      <c r="E4" s="315"/>
      <c r="F4" s="83"/>
      <c r="G4" s="87">
        <f>L3+L4+L5+L6+L7+L8</f>
        <v>1602400</v>
      </c>
      <c r="H4" s="82"/>
      <c r="I4" s="82"/>
      <c r="J4" s="83"/>
      <c r="K4" s="316" t="s">
        <v>165</v>
      </c>
      <c r="L4" s="317">
        <v>130000</v>
      </c>
      <c r="M4" s="316"/>
    </row>
    <row r="5" spans="1:13" ht="15" customHeight="1" x14ac:dyDescent="0.3">
      <c r="A5" s="84"/>
      <c r="B5" s="85"/>
      <c r="C5" s="86" t="s">
        <v>101</v>
      </c>
      <c r="D5" s="83"/>
      <c r="E5" s="83"/>
      <c r="F5" s="83"/>
      <c r="G5" s="87"/>
      <c r="H5" s="82"/>
      <c r="I5" s="82"/>
      <c r="J5" s="83"/>
      <c r="K5" s="316" t="s">
        <v>166</v>
      </c>
      <c r="L5" s="317">
        <v>240000</v>
      </c>
      <c r="M5" s="316"/>
    </row>
    <row r="6" spans="1:13" ht="15" customHeight="1" x14ac:dyDescent="0.3">
      <c r="A6" s="84"/>
      <c r="B6" s="85"/>
      <c r="C6" s="86" t="s">
        <v>102</v>
      </c>
      <c r="D6" s="83"/>
      <c r="E6" s="83"/>
      <c r="F6" s="83"/>
      <c r="G6" s="88"/>
      <c r="H6" s="82"/>
      <c r="I6" s="82"/>
      <c r="J6" s="83"/>
      <c r="K6" s="316" t="s">
        <v>167</v>
      </c>
      <c r="L6" s="317">
        <v>90000</v>
      </c>
      <c r="M6" s="316"/>
    </row>
    <row r="7" spans="1:13" ht="15" customHeight="1" x14ac:dyDescent="0.3">
      <c r="A7" s="84"/>
      <c r="B7" s="89"/>
      <c r="C7" s="86"/>
      <c r="D7" s="83"/>
      <c r="E7" s="83"/>
      <c r="F7" s="90" t="s">
        <v>51</v>
      </c>
      <c r="G7" s="91">
        <f>G4+G5+G6</f>
        <v>1602400</v>
      </c>
      <c r="H7" s="82"/>
      <c r="I7" s="82"/>
      <c r="J7" s="83"/>
      <c r="K7" s="316" t="s">
        <v>169</v>
      </c>
      <c r="L7" s="317">
        <v>2400</v>
      </c>
      <c r="M7" s="316"/>
    </row>
    <row r="8" spans="1:13" ht="15" customHeight="1" x14ac:dyDescent="0.3">
      <c r="A8" s="84"/>
      <c r="B8" s="92"/>
      <c r="C8" s="93" t="s">
        <v>103</v>
      </c>
      <c r="D8" s="83"/>
      <c r="E8" s="83"/>
      <c r="F8" s="83"/>
      <c r="G8" s="88">
        <f>+L7</f>
        <v>2400</v>
      </c>
      <c r="H8" s="82"/>
      <c r="I8" s="82"/>
      <c r="J8" s="83"/>
      <c r="K8" s="316" t="s">
        <v>170</v>
      </c>
      <c r="L8" s="317">
        <v>140000</v>
      </c>
      <c r="M8" s="316"/>
    </row>
    <row r="9" spans="1:13" ht="15" customHeight="1" x14ac:dyDescent="0.25">
      <c r="A9" s="84"/>
      <c r="B9" s="89"/>
      <c r="C9" s="83"/>
      <c r="D9" s="83"/>
      <c r="E9" s="83"/>
      <c r="F9" s="94" t="s">
        <v>104</v>
      </c>
      <c r="G9" s="95">
        <f>G7-G8</f>
        <v>1600000</v>
      </c>
      <c r="H9" s="82"/>
      <c r="I9" s="82"/>
      <c r="J9" s="83"/>
      <c r="K9" s="83"/>
      <c r="L9" s="350">
        <f>SUM(L3:L8)</f>
        <v>1602400</v>
      </c>
      <c r="M9" s="83"/>
    </row>
    <row r="10" spans="1:13" ht="15" customHeight="1" x14ac:dyDescent="0.25">
      <c r="A10" s="84"/>
      <c r="B10" s="85"/>
      <c r="C10" s="96" t="s">
        <v>105</v>
      </c>
      <c r="D10" s="83"/>
      <c r="E10" s="83"/>
      <c r="F10" s="83"/>
      <c r="G10" s="88">
        <f>IF(G9&gt;50000,50000,0)*-1</f>
        <v>-50000</v>
      </c>
      <c r="H10" s="82">
        <f>G9+G10</f>
        <v>1550000</v>
      </c>
      <c r="I10" s="82">
        <f>G7</f>
        <v>1602400</v>
      </c>
      <c r="J10" s="83"/>
      <c r="K10" s="83"/>
      <c r="L10" s="83"/>
      <c r="M10" s="83"/>
    </row>
    <row r="11" spans="1:13" ht="15" customHeight="1" x14ac:dyDescent="0.25">
      <c r="A11" s="84"/>
      <c r="B11" s="97" t="s">
        <v>106</v>
      </c>
      <c r="C11" s="83"/>
      <c r="D11" s="83"/>
      <c r="E11" s="313" t="s">
        <v>268</v>
      </c>
      <c r="F11" s="98"/>
      <c r="G11" s="83"/>
      <c r="H11" s="82"/>
      <c r="I11" s="82"/>
      <c r="J11" s="83"/>
      <c r="K11" s="72"/>
      <c r="L11" s="72"/>
    </row>
    <row r="12" spans="1:13" ht="15" customHeight="1" x14ac:dyDescent="0.25">
      <c r="A12" s="84"/>
      <c r="B12" s="83"/>
      <c r="C12" s="86" t="s">
        <v>269</v>
      </c>
      <c r="D12" s="86"/>
      <c r="E12" s="100"/>
      <c r="F12" s="101"/>
      <c r="G12" s="102">
        <f>45000*12</f>
        <v>540000</v>
      </c>
      <c r="H12" s="82"/>
      <c r="I12" s="82"/>
      <c r="J12" s="83"/>
      <c r="K12" s="72"/>
      <c r="L12" s="72"/>
    </row>
    <row r="13" spans="1:13" ht="15" customHeight="1" x14ac:dyDescent="0.25">
      <c r="A13" s="84"/>
      <c r="B13" s="83"/>
      <c r="C13" s="103" t="s">
        <v>107</v>
      </c>
      <c r="D13" s="86"/>
      <c r="E13" s="100"/>
      <c r="F13" s="101"/>
      <c r="G13" s="104">
        <v>-10000</v>
      </c>
      <c r="H13" s="82"/>
      <c r="I13" s="82"/>
      <c r="J13" s="83"/>
      <c r="K13" s="72"/>
      <c r="L13" s="72"/>
    </row>
    <row r="14" spans="1:13" ht="15" customHeight="1" x14ac:dyDescent="0.25">
      <c r="A14" s="84"/>
      <c r="B14" s="83"/>
      <c r="C14" s="99"/>
      <c r="D14" s="86"/>
      <c r="E14" s="83"/>
      <c r="F14" s="101"/>
      <c r="G14" s="95">
        <f>G12+G13</f>
        <v>530000</v>
      </c>
      <c r="H14" s="82"/>
      <c r="I14" s="82"/>
      <c r="J14" s="83"/>
      <c r="K14" s="72"/>
      <c r="L14" s="72"/>
    </row>
    <row r="15" spans="1:13" ht="15" customHeight="1" x14ac:dyDescent="0.25">
      <c r="A15" s="84"/>
      <c r="B15" s="85"/>
      <c r="C15" s="105" t="s">
        <v>108</v>
      </c>
      <c r="D15" s="86"/>
      <c r="E15" s="83"/>
      <c r="F15" s="106" t="s">
        <v>109</v>
      </c>
      <c r="G15" s="83">
        <f>ROUND(G14*30%,0)*-1</f>
        <v>-159000</v>
      </c>
      <c r="H15" s="107"/>
      <c r="I15" s="82"/>
      <c r="J15" s="83"/>
      <c r="K15" s="72"/>
      <c r="L15" s="72"/>
    </row>
    <row r="16" spans="1:13" ht="15" customHeight="1" x14ac:dyDescent="0.25">
      <c r="A16" s="84"/>
      <c r="B16" s="85"/>
      <c r="C16" s="96" t="s">
        <v>110</v>
      </c>
      <c r="D16" s="83"/>
      <c r="E16" s="83"/>
      <c r="F16" s="108" t="s">
        <v>111</v>
      </c>
      <c r="G16" s="104">
        <v>-240000</v>
      </c>
      <c r="H16" s="82">
        <f>G14+G15+G16</f>
        <v>131000</v>
      </c>
      <c r="I16" s="82">
        <f>+H16</f>
        <v>131000</v>
      </c>
      <c r="J16" s="83"/>
      <c r="K16" s="72"/>
      <c r="L16" s="72"/>
    </row>
    <row r="17" spans="1:12" ht="15" hidden="1" customHeight="1" x14ac:dyDescent="0.25">
      <c r="A17" s="84"/>
      <c r="B17" s="89" t="s">
        <v>112</v>
      </c>
      <c r="C17" s="105"/>
      <c r="D17" s="83"/>
      <c r="E17" s="109"/>
      <c r="F17" s="98"/>
      <c r="G17" s="83"/>
      <c r="H17" s="82"/>
      <c r="I17" s="82"/>
      <c r="J17" s="83"/>
      <c r="K17" s="72"/>
      <c r="L17" s="72"/>
    </row>
    <row r="18" spans="1:12" ht="15" hidden="1" customHeight="1" x14ac:dyDescent="0.25">
      <c r="A18" s="84"/>
      <c r="B18" s="83"/>
      <c r="C18" s="105" t="s">
        <v>113</v>
      </c>
      <c r="D18" s="83"/>
      <c r="E18" s="109"/>
      <c r="F18" s="98"/>
      <c r="G18" s="102"/>
      <c r="H18" s="82"/>
      <c r="I18" s="82"/>
      <c r="J18" s="83"/>
      <c r="K18" s="72"/>
      <c r="L18" s="72"/>
    </row>
    <row r="19" spans="1:12" ht="15" hidden="1" customHeight="1" x14ac:dyDescent="0.25">
      <c r="A19" s="84"/>
      <c r="B19" s="83"/>
      <c r="C19" s="105" t="s">
        <v>114</v>
      </c>
      <c r="D19" s="83"/>
      <c r="E19" s="109"/>
      <c r="F19" s="98"/>
      <c r="G19" s="104"/>
      <c r="H19" s="110">
        <f>G18-G19</f>
        <v>0</v>
      </c>
      <c r="I19" s="110" t="str">
        <f>IF(H19&lt;&gt;0,0,"NIL")</f>
        <v>NIL</v>
      </c>
      <c r="J19" s="83"/>
      <c r="K19" s="72"/>
      <c r="L19" s="72"/>
    </row>
    <row r="20" spans="1:12" ht="15" customHeight="1" x14ac:dyDescent="0.25">
      <c r="A20" s="84"/>
      <c r="B20" s="111" t="s">
        <v>115</v>
      </c>
      <c r="C20" s="83"/>
      <c r="D20" s="83"/>
      <c r="E20" s="83"/>
      <c r="F20" s="83"/>
      <c r="G20" s="83"/>
      <c r="H20" s="82"/>
      <c r="I20" s="82"/>
      <c r="J20" s="83"/>
      <c r="K20" s="72"/>
      <c r="L20" s="72"/>
    </row>
    <row r="21" spans="1:12" ht="15" customHeight="1" x14ac:dyDescent="0.25">
      <c r="A21" s="84"/>
      <c r="B21" s="319">
        <v>0.15</v>
      </c>
      <c r="C21" s="105" t="s">
        <v>116</v>
      </c>
      <c r="D21" s="83"/>
      <c r="E21" s="360" t="s">
        <v>270</v>
      </c>
      <c r="F21" s="83">
        <v>200000</v>
      </c>
      <c r="G21" s="102"/>
      <c r="H21" s="82"/>
      <c r="I21" s="82"/>
      <c r="J21" s="83"/>
    </row>
    <row r="22" spans="1:12" ht="15" customHeight="1" x14ac:dyDescent="0.25">
      <c r="A22" s="84"/>
      <c r="B22" s="83"/>
      <c r="C22" s="105"/>
      <c r="D22" s="128" t="s">
        <v>272</v>
      </c>
      <c r="E22" s="360" t="s">
        <v>271</v>
      </c>
      <c r="F22" s="171">
        <v>140000</v>
      </c>
      <c r="G22" s="102">
        <f>F21-F22</f>
        <v>60000</v>
      </c>
      <c r="H22" s="82"/>
      <c r="I22" s="82"/>
      <c r="J22" s="83"/>
    </row>
    <row r="23" spans="1:12" ht="15" customHeight="1" x14ac:dyDescent="0.25">
      <c r="A23" s="84"/>
      <c r="B23" s="83"/>
      <c r="C23" s="105" t="s">
        <v>117</v>
      </c>
      <c r="D23" s="83"/>
      <c r="E23" s="83"/>
      <c r="F23" s="83"/>
      <c r="G23" s="104"/>
      <c r="H23" s="82">
        <f>+G22</f>
        <v>60000</v>
      </c>
      <c r="I23" s="82">
        <f>+H23</f>
        <v>60000</v>
      </c>
      <c r="J23" s="83"/>
    </row>
    <row r="24" spans="1:12" ht="15" customHeight="1" x14ac:dyDescent="0.25">
      <c r="A24" s="84"/>
      <c r="B24" s="111" t="s">
        <v>118</v>
      </c>
      <c r="C24" s="83"/>
      <c r="D24" s="83"/>
      <c r="E24" s="83"/>
      <c r="F24" s="83"/>
      <c r="G24" s="83"/>
      <c r="H24" s="82"/>
      <c r="I24" s="82"/>
      <c r="J24" s="83"/>
    </row>
    <row r="25" spans="1:12" ht="15" customHeight="1" x14ac:dyDescent="0.25">
      <c r="A25" s="84"/>
      <c r="B25" s="112"/>
      <c r="C25" s="105" t="s">
        <v>119</v>
      </c>
      <c r="D25" s="85"/>
      <c r="E25" s="85"/>
      <c r="F25" s="83"/>
      <c r="G25" s="83"/>
      <c r="H25" s="82"/>
      <c r="I25" s="82"/>
      <c r="J25" s="83"/>
    </row>
    <row r="26" spans="1:12" ht="15" customHeight="1" x14ac:dyDescent="0.25">
      <c r="A26" s="84"/>
      <c r="B26" s="112"/>
      <c r="C26" s="113" t="s">
        <v>273</v>
      </c>
      <c r="D26" s="83"/>
      <c r="E26" s="83"/>
      <c r="F26" s="114">
        <v>15000</v>
      </c>
      <c r="G26" s="83"/>
      <c r="H26" s="82"/>
      <c r="I26" s="82"/>
      <c r="J26" s="83"/>
    </row>
    <row r="27" spans="1:12" ht="15" customHeight="1" x14ac:dyDescent="0.25">
      <c r="A27" s="84"/>
      <c r="B27" s="112"/>
      <c r="C27" s="113" t="s">
        <v>120</v>
      </c>
      <c r="D27" s="83"/>
      <c r="E27" s="83"/>
      <c r="F27" s="115">
        <v>8000</v>
      </c>
      <c r="G27" s="116">
        <f>SUM(F26:F27)</f>
        <v>23000</v>
      </c>
      <c r="H27" s="82"/>
      <c r="I27" s="82"/>
      <c r="J27" s="83"/>
    </row>
    <row r="28" spans="1:12" ht="15" customHeight="1" x14ac:dyDescent="0.25">
      <c r="A28" s="84"/>
      <c r="B28" s="112"/>
      <c r="C28" s="85" t="s">
        <v>121</v>
      </c>
      <c r="D28" s="83"/>
      <c r="E28" s="83"/>
      <c r="F28" s="83"/>
      <c r="G28" s="83"/>
      <c r="H28" s="82"/>
      <c r="I28" s="82"/>
      <c r="J28" s="83"/>
    </row>
    <row r="29" spans="1:12" ht="15" customHeight="1" x14ac:dyDescent="0.25">
      <c r="A29" s="84"/>
      <c r="B29" s="112"/>
      <c r="C29" s="113" t="s">
        <v>120</v>
      </c>
      <c r="D29" s="83"/>
      <c r="E29" s="83"/>
      <c r="G29" s="114">
        <v>400000</v>
      </c>
      <c r="H29" s="82"/>
      <c r="I29" s="82"/>
      <c r="J29" s="83"/>
    </row>
    <row r="30" spans="1:12" ht="15" customHeight="1" x14ac:dyDescent="0.3">
      <c r="A30" s="84"/>
      <c r="B30" s="314">
        <v>43997</v>
      </c>
      <c r="C30" s="117" t="s">
        <v>122</v>
      </c>
      <c r="D30" s="83"/>
      <c r="E30" s="83"/>
      <c r="F30" s="83"/>
      <c r="G30" s="114">
        <v>4500</v>
      </c>
      <c r="H30" s="82"/>
      <c r="I30" s="82"/>
      <c r="J30" s="83"/>
    </row>
    <row r="31" spans="1:12" ht="15" customHeight="1" x14ac:dyDescent="0.25">
      <c r="A31" s="84"/>
      <c r="B31" s="112"/>
      <c r="C31" s="117"/>
      <c r="D31" s="83"/>
      <c r="E31" s="83"/>
      <c r="F31" s="83"/>
      <c r="G31" s="119"/>
      <c r="H31" s="82">
        <f>SUM(G26:G31)</f>
        <v>427500</v>
      </c>
      <c r="I31" s="82">
        <f>+G27+G29+G30</f>
        <v>427500</v>
      </c>
      <c r="J31" s="83"/>
    </row>
    <row r="32" spans="1:12" ht="15" customHeight="1" x14ac:dyDescent="0.25">
      <c r="A32" s="84"/>
      <c r="B32" s="111" t="s">
        <v>123</v>
      </c>
      <c r="C32" s="83"/>
      <c r="D32" s="83"/>
      <c r="E32" s="83"/>
      <c r="F32" s="83"/>
      <c r="G32" s="95"/>
      <c r="H32" s="82"/>
      <c r="I32" s="82"/>
      <c r="J32" s="83"/>
    </row>
    <row r="33" spans="1:13" ht="15" customHeight="1" x14ac:dyDescent="0.25">
      <c r="A33" s="84"/>
      <c r="B33" s="89"/>
      <c r="C33" s="118" t="s">
        <v>285</v>
      </c>
      <c r="D33" s="83"/>
      <c r="E33" s="320">
        <v>42500</v>
      </c>
      <c r="G33" s="95"/>
      <c r="H33" s="82"/>
      <c r="I33" s="82"/>
      <c r="J33" s="83"/>
    </row>
    <row r="34" spans="1:13" ht="15" customHeight="1" x14ac:dyDescent="0.25">
      <c r="A34" s="84"/>
      <c r="B34" s="101"/>
      <c r="C34" s="120"/>
      <c r="D34" s="118"/>
      <c r="E34" s="83"/>
      <c r="F34" s="83"/>
      <c r="G34" s="95"/>
      <c r="H34" s="107"/>
      <c r="I34" s="107"/>
      <c r="J34" s="83"/>
    </row>
    <row r="35" spans="1:13" ht="18.75" customHeight="1" x14ac:dyDescent="0.25">
      <c r="A35" s="84"/>
      <c r="B35" s="111" t="s">
        <v>124</v>
      </c>
      <c r="C35" s="83"/>
      <c r="D35" s="83"/>
      <c r="E35" s="101"/>
      <c r="F35" s="101"/>
      <c r="G35" s="121"/>
      <c r="H35" s="122">
        <f>SUM(H4:H32)</f>
        <v>2168500</v>
      </c>
      <c r="I35" s="122">
        <f>SUM(I4:I32)</f>
        <v>2220900</v>
      </c>
      <c r="J35" s="83"/>
    </row>
    <row r="36" spans="1:13" ht="15" customHeight="1" x14ac:dyDescent="0.25">
      <c r="A36" s="84"/>
      <c r="B36" s="123" t="s">
        <v>125</v>
      </c>
      <c r="C36" s="83"/>
      <c r="D36" s="83"/>
      <c r="E36" s="83"/>
      <c r="F36" s="83"/>
      <c r="G36" s="83"/>
      <c r="H36" s="82"/>
      <c r="I36" s="82"/>
      <c r="J36" s="83"/>
    </row>
    <row r="37" spans="1:13" ht="15" customHeight="1" x14ac:dyDescent="0.25">
      <c r="A37" s="84"/>
      <c r="B37" s="124"/>
      <c r="C37" s="125" t="s">
        <v>275</v>
      </c>
      <c r="D37" s="83"/>
      <c r="E37" s="83"/>
      <c r="F37" s="83"/>
      <c r="G37" s="98"/>
      <c r="H37" s="82"/>
      <c r="I37" s="82"/>
      <c r="J37" s="83"/>
    </row>
    <row r="38" spans="1:13" ht="15" customHeight="1" x14ac:dyDescent="0.25">
      <c r="A38" s="84"/>
      <c r="B38" s="124"/>
      <c r="C38" s="126" t="s">
        <v>161</v>
      </c>
      <c r="D38" s="83"/>
      <c r="E38" s="83"/>
      <c r="F38" s="102">
        <v>60000</v>
      </c>
      <c r="G38" s="98"/>
      <c r="H38" s="82"/>
      <c r="I38" s="82"/>
      <c r="J38" s="83"/>
    </row>
    <row r="39" spans="1:13" ht="15" customHeight="1" x14ac:dyDescent="0.25">
      <c r="A39" s="84"/>
      <c r="B39" s="124"/>
      <c r="C39" s="126" t="s">
        <v>276</v>
      </c>
      <c r="D39" s="330" t="s">
        <v>286</v>
      </c>
      <c r="E39" s="83"/>
      <c r="F39" s="102">
        <f>30000-2400</f>
        <v>27600</v>
      </c>
      <c r="G39" s="98"/>
      <c r="H39" s="82"/>
      <c r="I39" s="82"/>
      <c r="J39" s="83"/>
    </row>
    <row r="40" spans="1:13" ht="15" customHeight="1" x14ac:dyDescent="0.25">
      <c r="A40" s="84"/>
      <c r="B40" s="124"/>
      <c r="C40" s="126" t="s">
        <v>162</v>
      </c>
      <c r="D40" s="83"/>
      <c r="E40" s="83"/>
      <c r="F40" s="102">
        <v>50000</v>
      </c>
      <c r="G40" s="98"/>
      <c r="H40" s="82"/>
      <c r="I40" s="82"/>
      <c r="J40" s="83"/>
    </row>
    <row r="41" spans="1:13" ht="15" customHeight="1" x14ac:dyDescent="0.25">
      <c r="A41" s="84"/>
      <c r="B41" s="124"/>
      <c r="C41" s="85"/>
      <c r="D41" s="83"/>
      <c r="E41" s="83"/>
      <c r="F41" s="127">
        <f>SUM(F38:F40)</f>
        <v>137600</v>
      </c>
      <c r="G41" s="83">
        <f>IF(F41&gt;150000,150000,F41)</f>
        <v>137600</v>
      </c>
      <c r="H41" s="82"/>
      <c r="I41" s="82"/>
      <c r="J41" s="83"/>
    </row>
    <row r="42" spans="1:13" ht="15" hidden="1" customHeight="1" x14ac:dyDescent="0.25">
      <c r="A42" s="84"/>
      <c r="B42" s="124"/>
      <c r="C42" s="125" t="s">
        <v>126</v>
      </c>
      <c r="D42" s="83"/>
      <c r="E42" s="83"/>
      <c r="F42" s="111"/>
      <c r="G42" s="102"/>
      <c r="H42" s="82"/>
      <c r="I42" s="82"/>
      <c r="J42" s="83"/>
    </row>
    <row r="43" spans="1:13" ht="15" hidden="1" customHeight="1" x14ac:dyDescent="0.25">
      <c r="A43" s="84"/>
      <c r="B43" s="124"/>
      <c r="C43" s="125" t="s">
        <v>127</v>
      </c>
      <c r="D43" s="83"/>
      <c r="E43" s="83"/>
      <c r="F43" s="111"/>
      <c r="G43" s="102"/>
      <c r="H43" s="82"/>
      <c r="I43" s="82"/>
      <c r="J43" s="83"/>
    </row>
    <row r="44" spans="1:13" ht="15" customHeight="1" x14ac:dyDescent="0.25">
      <c r="A44" s="84"/>
      <c r="B44" s="124"/>
      <c r="C44" s="125" t="s">
        <v>263</v>
      </c>
      <c r="D44" s="83"/>
      <c r="E44" s="318">
        <v>50000</v>
      </c>
      <c r="F44" s="111"/>
      <c r="G44" s="102">
        <f>150000-137600</f>
        <v>12400</v>
      </c>
      <c r="H44" s="82"/>
      <c r="I44" s="82"/>
      <c r="J44" s="83"/>
    </row>
    <row r="45" spans="1:13" ht="15" customHeight="1" x14ac:dyDescent="0.25">
      <c r="A45" s="84"/>
      <c r="B45" s="124"/>
      <c r="C45" s="125" t="s">
        <v>128</v>
      </c>
      <c r="D45" s="83"/>
      <c r="E45" s="318"/>
      <c r="F45" s="111"/>
      <c r="G45" s="102">
        <v>50000</v>
      </c>
      <c r="H45" s="82"/>
      <c r="I45" s="82"/>
      <c r="J45" s="83"/>
    </row>
    <row r="46" spans="1:13" ht="15" customHeight="1" x14ac:dyDescent="0.25">
      <c r="A46" s="84"/>
      <c r="B46" s="124"/>
      <c r="C46" s="125" t="s">
        <v>129</v>
      </c>
      <c r="D46" s="83"/>
      <c r="E46" s="318"/>
      <c r="F46" s="111"/>
      <c r="G46" s="102">
        <f>+L8</f>
        <v>140000</v>
      </c>
      <c r="H46" s="82"/>
      <c r="I46" s="82">
        <f>+G46</f>
        <v>140000</v>
      </c>
      <c r="J46" s="83"/>
    </row>
    <row r="47" spans="1:13" ht="15" customHeight="1" x14ac:dyDescent="0.25">
      <c r="A47" s="84"/>
      <c r="B47" s="124"/>
      <c r="C47" s="125" t="s">
        <v>50</v>
      </c>
      <c r="D47" s="128"/>
      <c r="E47" s="318"/>
      <c r="F47" s="111"/>
      <c r="G47" s="102">
        <v>18000</v>
      </c>
      <c r="H47" s="82"/>
      <c r="I47" s="82"/>
      <c r="J47" s="83"/>
    </row>
    <row r="48" spans="1:13" ht="15" customHeight="1" x14ac:dyDescent="0.25">
      <c r="A48" s="84"/>
      <c r="B48" s="83"/>
      <c r="C48" s="125" t="s">
        <v>130</v>
      </c>
      <c r="D48" s="105"/>
      <c r="E48" s="318"/>
      <c r="F48" s="101"/>
      <c r="G48" s="102">
        <v>10000</v>
      </c>
      <c r="H48" s="82"/>
      <c r="I48" s="82"/>
      <c r="J48" s="83"/>
      <c r="K48" s="129"/>
      <c r="L48" s="130" t="s">
        <v>131</v>
      </c>
      <c r="M48" s="130" t="s">
        <v>132</v>
      </c>
    </row>
    <row r="49" spans="1:13" ht="15" customHeight="1" x14ac:dyDescent="0.25">
      <c r="A49" s="84"/>
      <c r="B49" s="83"/>
      <c r="C49" s="125"/>
      <c r="D49" s="105"/>
      <c r="E49" s="101"/>
      <c r="F49" s="101"/>
      <c r="G49" s="104"/>
      <c r="H49" s="82">
        <f>SUM(G41:G49)</f>
        <v>368000</v>
      </c>
      <c r="I49" s="131"/>
      <c r="J49" s="83"/>
      <c r="K49" s="130" t="s">
        <v>133</v>
      </c>
      <c r="L49" s="132">
        <v>250000</v>
      </c>
      <c r="M49" s="132">
        <v>250000</v>
      </c>
    </row>
    <row r="50" spans="1:13" ht="21.75" customHeight="1" thickBot="1" x14ac:dyDescent="0.3">
      <c r="A50" s="84"/>
      <c r="B50" s="133" t="s">
        <v>134</v>
      </c>
      <c r="C50" s="83"/>
      <c r="D50" s="83"/>
      <c r="E50" s="134"/>
      <c r="F50" s="135" t="s">
        <v>135</v>
      </c>
      <c r="G50" s="136"/>
      <c r="H50" s="137">
        <f>IF((H35-H49)&lt;0,0,(H35-H49))</f>
        <v>1800500</v>
      </c>
      <c r="I50" s="137">
        <f>+I35-I46</f>
        <v>2080900</v>
      </c>
      <c r="J50" s="83"/>
      <c r="K50" s="138" t="s">
        <v>136</v>
      </c>
      <c r="L50" s="139">
        <v>300000</v>
      </c>
      <c r="M50" s="139">
        <v>250000</v>
      </c>
    </row>
    <row r="51" spans="1:13" ht="15" customHeight="1" thickTop="1" x14ac:dyDescent="0.25">
      <c r="A51" s="84"/>
      <c r="B51" s="111" t="s">
        <v>137</v>
      </c>
      <c r="C51" s="83"/>
      <c r="D51" s="83"/>
      <c r="E51" s="361"/>
      <c r="F51" s="141"/>
      <c r="G51" s="128"/>
      <c r="H51" s="107"/>
      <c r="I51" s="107"/>
      <c r="J51" s="83"/>
      <c r="K51" s="130" t="s">
        <v>138</v>
      </c>
      <c r="L51" s="142">
        <f>+M51</f>
        <v>0.05</v>
      </c>
      <c r="M51" s="142">
        <v>0.05</v>
      </c>
    </row>
    <row r="52" spans="1:13" ht="15" customHeight="1" x14ac:dyDescent="0.25">
      <c r="A52" s="84"/>
      <c r="B52" s="143">
        <f>IF(G2&lt;22373,"Sr Citizen",0)</f>
        <v>0</v>
      </c>
      <c r="C52" s="105" t="s">
        <v>139</v>
      </c>
      <c r="D52" s="83"/>
      <c r="E52" s="144">
        <f>H50-E53</f>
        <v>1740500</v>
      </c>
      <c r="F52" s="128" t="s">
        <v>140</v>
      </c>
      <c r="G52" s="128"/>
      <c r="H52" s="107">
        <f>IF(+B52="Sr Citizen",ROUND(IF(E52&gt;1000000,(((E52-1000000)*0.3)+110000),IF(E52&gt;500000,(((E52-500000)*0.2)+10000),IF(E52&gt;300000,((E52-300000)*0.05),0))),0),ROUND(IF(E52&gt;1000000,(((E52-1000000)*0.3)+112500),IF(E52&gt;500000,(((E52-500000)*0.2)+12500),IF(E52&gt;250000,((E52-250000)*0.05),0))),0))</f>
        <v>334650</v>
      </c>
      <c r="I52" s="107">
        <f>ROUND(IF(I50&gt;1500000,(I50-1500000)*30%+187500,IF(I50&gt;1250000,(I50-1250000)*25%+125000,IF(I50&gt;1000000,(I50-1000000)*20%+75000,IF(I50&gt;750000,(I50-750000)*15%+37500,IF(I50&gt;500000,(I50-500000)*10%+12500, IF(I50&gt;250000,(I50-250000)*5%,0)))))),0)-(60000*0.3)</f>
        <v>343770</v>
      </c>
      <c r="J52" s="83"/>
      <c r="K52" s="145" t="s">
        <v>141</v>
      </c>
      <c r="L52" s="142">
        <v>0.2</v>
      </c>
      <c r="M52" s="142">
        <v>0.1</v>
      </c>
    </row>
    <row r="53" spans="1:13" ht="15" customHeight="1" x14ac:dyDescent="0.25">
      <c r="A53" s="84"/>
      <c r="B53" s="146"/>
      <c r="C53" s="105" t="s">
        <v>142</v>
      </c>
      <c r="D53" s="83"/>
      <c r="E53" s="144">
        <f>+H23</f>
        <v>60000</v>
      </c>
      <c r="F53" s="147">
        <v>0.15</v>
      </c>
      <c r="G53" s="147"/>
      <c r="H53" s="107">
        <f>ROUND(E53*F53,0)</f>
        <v>9000</v>
      </c>
      <c r="I53" s="107">
        <f>+H53</f>
        <v>9000</v>
      </c>
      <c r="J53" s="83"/>
      <c r="K53" s="145" t="s">
        <v>143</v>
      </c>
      <c r="L53" s="142">
        <v>0.2</v>
      </c>
      <c r="M53" s="142">
        <v>0.15</v>
      </c>
    </row>
    <row r="54" spans="1:13" ht="15" customHeight="1" x14ac:dyDescent="0.25">
      <c r="A54" s="84"/>
      <c r="B54" s="105" t="s">
        <v>144</v>
      </c>
      <c r="C54" s="83"/>
      <c r="F54" s="83"/>
      <c r="G54" s="140"/>
      <c r="H54" s="107">
        <f>(IF(H50&gt;500000,0,IF((H52+H53)&gt;12500,12500,(H52+H53))))*-1</f>
        <v>0</v>
      </c>
      <c r="I54" s="107">
        <f>(IF(I50&gt;500000,0,IF((I52+I53)&gt;12500,12500,(I52+I53))))*-1</f>
        <v>0</v>
      </c>
      <c r="J54" s="83"/>
      <c r="K54" s="145" t="s">
        <v>145</v>
      </c>
      <c r="L54" s="142">
        <v>0.3</v>
      </c>
      <c r="M54" s="142">
        <v>0.2</v>
      </c>
    </row>
    <row r="55" spans="1:13" ht="15" customHeight="1" thickBot="1" x14ac:dyDescent="0.3">
      <c r="A55" s="84"/>
      <c r="B55" s="105" t="s">
        <v>146</v>
      </c>
      <c r="C55" s="149"/>
      <c r="D55" s="148"/>
      <c r="E55" s="101"/>
      <c r="F55" s="83"/>
      <c r="G55" s="150"/>
      <c r="H55" s="151">
        <f>IF(H50&gt;10000000,(H52+H53)*15%,IF(H52&gt;5000000,(H52+H53)*10%,0))</f>
        <v>0</v>
      </c>
      <c r="I55" s="151">
        <f>IF(I50&gt;10000000,(I52+I53)*15%,IF(I52&gt;5000000,(I52+I53)*10%,0))</f>
        <v>0</v>
      </c>
      <c r="J55" s="83"/>
      <c r="K55" s="145" t="s">
        <v>147</v>
      </c>
      <c r="L55" s="142">
        <v>0.3</v>
      </c>
      <c r="M55" s="142">
        <v>0.25</v>
      </c>
    </row>
    <row r="56" spans="1:13" ht="15" customHeight="1" x14ac:dyDescent="0.25">
      <c r="A56" s="84"/>
      <c r="B56" s="83"/>
      <c r="C56" s="149"/>
      <c r="D56" s="148"/>
      <c r="E56" s="101"/>
      <c r="F56" s="83"/>
      <c r="G56" s="150"/>
      <c r="H56" s="152">
        <f>SUM(H52:H55)</f>
        <v>343650</v>
      </c>
      <c r="I56" s="152">
        <f>SUM(I52:I55)</f>
        <v>352770</v>
      </c>
      <c r="J56" s="83"/>
      <c r="K56" s="145" t="s">
        <v>147</v>
      </c>
      <c r="L56" s="142">
        <v>0.3</v>
      </c>
      <c r="M56" s="142">
        <v>0.25</v>
      </c>
    </row>
    <row r="57" spans="1:13" ht="15" customHeight="1" x14ac:dyDescent="0.25">
      <c r="A57" s="84"/>
      <c r="B57" s="105" t="s">
        <v>148</v>
      </c>
      <c r="C57" s="83"/>
      <c r="D57" s="148"/>
      <c r="E57" s="101"/>
      <c r="F57" s="83"/>
      <c r="G57" s="101"/>
      <c r="H57" s="153">
        <f>ROUND((H56)*0.04,0)</f>
        <v>13746</v>
      </c>
      <c r="I57" s="153">
        <f>ROUND((I56)*0.04,0)</f>
        <v>14111</v>
      </c>
      <c r="J57" s="83"/>
      <c r="K57" s="130" t="s">
        <v>149</v>
      </c>
      <c r="L57" s="142">
        <v>0.3</v>
      </c>
      <c r="M57" s="142">
        <v>0.3</v>
      </c>
    </row>
    <row r="58" spans="1:13" ht="15" customHeight="1" x14ac:dyDescent="0.25">
      <c r="A58" s="84"/>
      <c r="B58" s="111" t="s">
        <v>150</v>
      </c>
      <c r="C58" s="83"/>
      <c r="D58" s="148"/>
      <c r="E58" s="154"/>
      <c r="F58" s="83"/>
      <c r="G58" s="101"/>
      <c r="H58" s="131">
        <f>SUM(H56:H57)</f>
        <v>357396</v>
      </c>
      <c r="I58" s="131">
        <f>SUM(I56:I57)</f>
        <v>366881</v>
      </c>
      <c r="J58" s="331">
        <f>I58-H58</f>
        <v>9485</v>
      </c>
      <c r="K58" s="129"/>
      <c r="L58" s="129"/>
      <c r="M58" s="129"/>
    </row>
    <row r="59" spans="1:13" ht="15" customHeight="1" x14ac:dyDescent="0.25">
      <c r="A59" s="84"/>
      <c r="B59" s="83" t="s">
        <v>151</v>
      </c>
      <c r="C59" s="101"/>
      <c r="D59" s="101"/>
      <c r="E59" s="101"/>
      <c r="F59" s="356">
        <v>44555</v>
      </c>
      <c r="G59" s="101"/>
      <c r="H59" s="155">
        <f>+H81</f>
        <v>19104</v>
      </c>
      <c r="I59" s="366"/>
      <c r="J59" s="83"/>
      <c r="K59" s="130"/>
      <c r="L59" s="129"/>
      <c r="M59" s="129"/>
    </row>
    <row r="60" spans="1:13" ht="15" customHeight="1" x14ac:dyDescent="0.25">
      <c r="A60" s="84"/>
      <c r="B60" s="111" t="s">
        <v>152</v>
      </c>
      <c r="C60" s="101"/>
      <c r="D60" s="101"/>
      <c r="E60" s="101"/>
      <c r="F60" s="101"/>
      <c r="G60" s="101"/>
      <c r="H60" s="156">
        <f>H58+H59</f>
        <v>376500</v>
      </c>
      <c r="I60" s="367">
        <f>I58+I59</f>
        <v>366881</v>
      </c>
      <c r="J60" s="83"/>
      <c r="K60" s="138"/>
    </row>
    <row r="61" spans="1:13" ht="15" customHeight="1" x14ac:dyDescent="0.25">
      <c r="A61" s="84"/>
      <c r="B61" s="111" t="s">
        <v>153</v>
      </c>
      <c r="C61" s="101"/>
      <c r="D61" s="101"/>
      <c r="E61" s="101"/>
      <c r="F61" s="101"/>
      <c r="G61" s="101"/>
      <c r="H61" s="156"/>
      <c r="I61" s="367"/>
      <c r="J61" s="83"/>
      <c r="K61" s="130"/>
    </row>
    <row r="62" spans="1:13" ht="15" customHeight="1" x14ac:dyDescent="0.3">
      <c r="A62" s="84"/>
      <c r="B62" s="83"/>
      <c r="C62" s="462" t="s">
        <v>154</v>
      </c>
      <c r="D62" s="462"/>
      <c r="E62" s="363"/>
      <c r="F62" s="363"/>
      <c r="G62" s="87"/>
      <c r="H62" s="82"/>
      <c r="I62" s="368"/>
      <c r="J62" s="83"/>
      <c r="K62" s="145"/>
    </row>
    <row r="63" spans="1:13" ht="15" customHeight="1" x14ac:dyDescent="0.3">
      <c r="A63" s="84"/>
      <c r="B63" s="174"/>
      <c r="C63" s="462" t="s">
        <v>155</v>
      </c>
      <c r="D63" s="462"/>
      <c r="E63" s="363"/>
      <c r="F63" s="363"/>
      <c r="G63" s="114">
        <v>227000</v>
      </c>
      <c r="H63" s="82"/>
      <c r="I63" s="368"/>
      <c r="J63" s="83"/>
      <c r="K63" s="145"/>
    </row>
    <row r="64" spans="1:13" ht="15" customHeight="1" x14ac:dyDescent="0.3">
      <c r="A64" s="84"/>
      <c r="B64" s="157"/>
      <c r="C64" s="462" t="s">
        <v>156</v>
      </c>
      <c r="D64" s="462"/>
      <c r="E64" s="158"/>
      <c r="F64" s="158"/>
      <c r="G64" s="114">
        <v>30000</v>
      </c>
      <c r="H64" s="82"/>
      <c r="I64" s="368"/>
      <c r="J64" s="83"/>
      <c r="K64" s="145"/>
    </row>
    <row r="65" spans="1:14" ht="15" customHeight="1" thickBot="1" x14ac:dyDescent="0.35">
      <c r="A65" s="159"/>
      <c r="B65" s="329">
        <v>44555</v>
      </c>
      <c r="C65" s="463" t="s">
        <v>157</v>
      </c>
      <c r="D65" s="463"/>
      <c r="E65" s="463"/>
      <c r="F65" s="463"/>
      <c r="G65" s="172">
        <f>H60-(G63+G64)</f>
        <v>119500</v>
      </c>
      <c r="H65" s="160">
        <f>SUM(G62:G65)</f>
        <v>376500</v>
      </c>
      <c r="I65" s="369">
        <f>+H65</f>
        <v>376500</v>
      </c>
      <c r="J65" s="83"/>
      <c r="K65" s="145"/>
    </row>
    <row r="66" spans="1:14" ht="17.25" customHeight="1" thickBot="1" x14ac:dyDescent="0.3">
      <c r="A66" s="161"/>
      <c r="B66" s="162" t="str">
        <f>IF(H66=0,"TAX  PAYABLE / REFUND ",IF(H66&lt;0,"REFUND","TAX  PAYABLE"))</f>
        <v xml:space="preserve">TAX  PAYABLE / REFUND </v>
      </c>
      <c r="C66" s="163"/>
      <c r="D66" s="163"/>
      <c r="E66" s="164"/>
      <c r="F66" s="165" t="s">
        <v>158</v>
      </c>
      <c r="G66" s="164"/>
      <c r="H66" s="160"/>
      <c r="I66" s="369">
        <f>ROUND((I60-I65)/10,0)*10</f>
        <v>-9620</v>
      </c>
      <c r="J66" s="83"/>
      <c r="K66" s="145"/>
    </row>
    <row r="67" spans="1:14" s="168" customFormat="1" ht="15" customHeight="1" x14ac:dyDescent="0.2">
      <c r="A67" s="166"/>
      <c r="B67" s="167"/>
      <c r="I67" s="169"/>
      <c r="K67" s="130"/>
    </row>
    <row r="68" spans="1:14" ht="15" customHeight="1" thickBot="1" x14ac:dyDescent="0.3">
      <c r="G68" s="95"/>
    </row>
    <row r="69" spans="1:14" s="176" customFormat="1" ht="15" customHeight="1" x14ac:dyDescent="0.25">
      <c r="A69" s="190"/>
      <c r="B69" s="194"/>
      <c r="C69" s="195"/>
      <c r="D69" s="191"/>
      <c r="E69" s="181"/>
      <c r="F69" s="455" t="s">
        <v>9</v>
      </c>
      <c r="G69" s="455"/>
      <c r="H69" s="455"/>
      <c r="I69" s="191"/>
      <c r="J69" s="183"/>
      <c r="K69" s="456" t="s">
        <v>8</v>
      </c>
      <c r="L69" s="457"/>
      <c r="M69" s="196"/>
      <c r="N69" s="196"/>
    </row>
    <row r="70" spans="1:14" s="176" customFormat="1" ht="15" customHeight="1" x14ac:dyDescent="0.25">
      <c r="A70" s="190"/>
      <c r="B70" s="182"/>
      <c r="C70" s="197"/>
      <c r="D70" s="191"/>
      <c r="E70" s="181"/>
      <c r="F70" s="447" t="s">
        <v>281</v>
      </c>
      <c r="G70" s="447"/>
      <c r="H70" s="198">
        <f>I10+I16+I31</f>
        <v>2160900</v>
      </c>
      <c r="I70" s="191"/>
      <c r="J70" s="183"/>
      <c r="K70" s="199" t="s">
        <v>174</v>
      </c>
      <c r="L70" s="200" t="s">
        <v>0</v>
      </c>
      <c r="M70" s="201"/>
      <c r="N70" s="196"/>
    </row>
    <row r="71" spans="1:14" s="176" customFormat="1" ht="15" customHeight="1" x14ac:dyDescent="0.25">
      <c r="A71" s="186"/>
      <c r="B71" s="202"/>
      <c r="C71" s="203"/>
      <c r="E71" s="181"/>
      <c r="F71" s="448" t="s">
        <v>175</v>
      </c>
      <c r="G71" s="448"/>
      <c r="H71" s="189">
        <f>+I23</f>
        <v>60000</v>
      </c>
      <c r="J71" s="183"/>
      <c r="K71" s="199" t="s">
        <v>5</v>
      </c>
      <c r="L71" s="204">
        <v>0.05</v>
      </c>
    </row>
    <row r="72" spans="1:14" s="176" customFormat="1" ht="15" customHeight="1" x14ac:dyDescent="0.25">
      <c r="A72" s="186"/>
      <c r="B72" s="205"/>
      <c r="C72" s="205"/>
      <c r="E72" s="181"/>
      <c r="F72" s="323"/>
      <c r="G72" s="325" t="s">
        <v>176</v>
      </c>
      <c r="H72" s="324">
        <f>SUM(H70:H71)</f>
        <v>2220900</v>
      </c>
      <c r="J72" s="183"/>
      <c r="K72" s="199" t="s">
        <v>4</v>
      </c>
      <c r="L72" s="204">
        <v>0.2</v>
      </c>
    </row>
    <row r="73" spans="1:14" s="176" customFormat="1" ht="15" customHeight="1" thickBot="1" x14ac:dyDescent="0.3">
      <c r="A73" s="186"/>
      <c r="B73" s="205"/>
      <c r="C73" s="206"/>
      <c r="E73" s="181"/>
      <c r="F73" s="177" t="s">
        <v>282</v>
      </c>
      <c r="H73" s="178">
        <f>+I46</f>
        <v>140000</v>
      </c>
      <c r="J73" s="183"/>
      <c r="K73" s="199" t="s">
        <v>3</v>
      </c>
      <c r="L73" s="204">
        <v>0.3</v>
      </c>
    </row>
    <row r="74" spans="1:14" s="176" customFormat="1" ht="15" customHeight="1" thickBot="1" x14ac:dyDescent="0.3">
      <c r="A74" s="186"/>
      <c r="B74" s="205"/>
      <c r="C74" s="206"/>
      <c r="E74" s="181"/>
      <c r="H74" s="207">
        <f>H72-H73</f>
        <v>2080900</v>
      </c>
      <c r="J74" s="183"/>
      <c r="K74" s="449" t="s">
        <v>9</v>
      </c>
      <c r="L74" s="450"/>
    </row>
    <row r="75" spans="1:14" s="176" customFormat="1" ht="15" customHeight="1" thickTop="1" x14ac:dyDescent="0.25">
      <c r="A75" s="186"/>
      <c r="B75" s="205"/>
      <c r="C75" s="206"/>
      <c r="E75" s="181"/>
      <c r="G75" s="208" t="s">
        <v>1</v>
      </c>
      <c r="H75" s="325" t="s">
        <v>283</v>
      </c>
      <c r="I75" s="192">
        <f>+I52</f>
        <v>343770</v>
      </c>
      <c r="J75" s="183"/>
      <c r="K75" s="210" t="s">
        <v>16</v>
      </c>
      <c r="L75" s="211" t="s">
        <v>0</v>
      </c>
    </row>
    <row r="76" spans="1:14" s="176" customFormat="1" ht="15" customHeight="1" x14ac:dyDescent="0.25">
      <c r="A76" s="186"/>
      <c r="B76" s="205"/>
      <c r="C76" s="206"/>
      <c r="E76" s="181"/>
      <c r="F76" s="185"/>
      <c r="H76" s="326" t="s">
        <v>284</v>
      </c>
      <c r="I76" s="327">
        <f>+I53</f>
        <v>9000</v>
      </c>
      <c r="J76" s="183"/>
      <c r="K76" s="210" t="s">
        <v>5</v>
      </c>
      <c r="L76" s="212">
        <v>0.05</v>
      </c>
    </row>
    <row r="77" spans="1:14" s="176" customFormat="1" ht="15" customHeight="1" x14ac:dyDescent="0.25">
      <c r="A77" s="186"/>
      <c r="B77" s="205"/>
      <c r="C77" s="206"/>
      <c r="E77" s="181"/>
      <c r="F77" s="175"/>
      <c r="H77" s="193"/>
      <c r="I77" s="189">
        <f>I75+I76</f>
        <v>352770</v>
      </c>
      <c r="J77" s="183"/>
      <c r="K77" s="210" t="s">
        <v>7</v>
      </c>
      <c r="L77" s="212">
        <v>0.1</v>
      </c>
    </row>
    <row r="78" spans="1:14" s="176" customFormat="1" ht="15" customHeight="1" x14ac:dyDescent="0.25">
      <c r="A78" s="186"/>
      <c r="B78" s="205"/>
      <c r="C78" s="206"/>
      <c r="E78" s="181"/>
      <c r="F78" s="175"/>
      <c r="G78" s="208" t="s">
        <v>172</v>
      </c>
      <c r="H78" s="185">
        <v>0.04</v>
      </c>
      <c r="I78" s="176">
        <f>ROUND(I77*H78,0)</f>
        <v>14111</v>
      </c>
      <c r="J78" s="183"/>
      <c r="K78" s="210" t="s">
        <v>6</v>
      </c>
      <c r="L78" s="212">
        <v>0.15</v>
      </c>
    </row>
    <row r="79" spans="1:14" s="176" customFormat="1" ht="15" customHeight="1" thickBot="1" x14ac:dyDescent="0.3">
      <c r="A79" s="186"/>
      <c r="B79" s="205"/>
      <c r="C79" s="206"/>
      <c r="E79" s="181"/>
      <c r="F79" s="175"/>
      <c r="H79" s="213" t="s">
        <v>177</v>
      </c>
      <c r="I79" s="328">
        <f>SUM(I77:I78)</f>
        <v>366881</v>
      </c>
      <c r="J79" s="183"/>
      <c r="K79" s="210" t="s">
        <v>53</v>
      </c>
      <c r="L79" s="212">
        <v>0.2</v>
      </c>
    </row>
    <row r="80" spans="1:14" s="176" customFormat="1" ht="15" customHeight="1" thickTop="1" x14ac:dyDescent="0.25">
      <c r="A80" s="186"/>
      <c r="B80" s="205"/>
      <c r="C80" s="206"/>
      <c r="G80" s="208"/>
      <c r="J80" s="183"/>
      <c r="K80" s="210" t="s">
        <v>14</v>
      </c>
      <c r="L80" s="212">
        <v>0.25</v>
      </c>
    </row>
    <row r="81" spans="1:12" s="176" customFormat="1" ht="15" customHeight="1" thickBot="1" x14ac:dyDescent="0.3">
      <c r="A81" s="186"/>
      <c r="B81" s="214" t="s">
        <v>178</v>
      </c>
      <c r="C81" s="215"/>
      <c r="D81" s="215"/>
      <c r="E81" s="215"/>
      <c r="F81" s="215"/>
      <c r="G81" s="216" t="s">
        <v>179</v>
      </c>
      <c r="H81" s="217">
        <f>+H93+H105+H114</f>
        <v>19104</v>
      </c>
      <c r="J81" s="218"/>
      <c r="K81" s="210" t="s">
        <v>15</v>
      </c>
      <c r="L81" s="212">
        <v>0.3</v>
      </c>
    </row>
    <row r="82" spans="1:12" s="176" customFormat="1" ht="15" customHeight="1" x14ac:dyDescent="0.25">
      <c r="A82" s="186"/>
      <c r="B82" s="219" t="s">
        <v>180</v>
      </c>
      <c r="C82" s="220"/>
      <c r="D82" s="220"/>
      <c r="E82" s="220"/>
      <c r="F82" s="220"/>
      <c r="G82" s="221"/>
      <c r="H82" s="222"/>
      <c r="J82" s="218"/>
      <c r="K82" s="451" t="s">
        <v>10</v>
      </c>
      <c r="L82" s="452"/>
    </row>
    <row r="83" spans="1:12" s="176" customFormat="1" ht="15" customHeight="1" x14ac:dyDescent="0.25">
      <c r="A83" s="186"/>
      <c r="B83" s="223" t="s">
        <v>181</v>
      </c>
      <c r="C83" s="224"/>
      <c r="D83" s="224"/>
      <c r="E83" s="225">
        <f>+H58</f>
        <v>357396</v>
      </c>
      <c r="G83" s="224"/>
      <c r="I83" s="224"/>
      <c r="J83" s="224"/>
      <c r="K83" s="226" t="s">
        <v>12</v>
      </c>
      <c r="L83" s="227"/>
    </row>
    <row r="84" spans="1:12" s="176" customFormat="1" ht="15" customHeight="1" x14ac:dyDescent="0.25">
      <c r="A84" s="186"/>
      <c r="B84" s="223" t="s">
        <v>182</v>
      </c>
      <c r="C84" s="224"/>
      <c r="D84" s="224"/>
      <c r="E84" s="225">
        <f>+G63+G64</f>
        <v>257000</v>
      </c>
      <c r="G84" s="224"/>
      <c r="I84" s="224"/>
      <c r="J84" s="224"/>
      <c r="K84" s="226" t="s">
        <v>13</v>
      </c>
      <c r="L84" s="227"/>
    </row>
    <row r="85" spans="1:12" s="176" customFormat="1" ht="15" customHeight="1" thickBot="1" x14ac:dyDescent="0.3">
      <c r="A85" s="186"/>
      <c r="B85" s="223" t="s">
        <v>183</v>
      </c>
      <c r="C85" s="224"/>
      <c r="D85" s="224"/>
      <c r="E85" s="228">
        <f>E83-E84</f>
        <v>100396</v>
      </c>
      <c r="G85" s="224"/>
      <c r="I85" s="224"/>
      <c r="J85" s="224"/>
      <c r="K85" s="229" t="s">
        <v>11</v>
      </c>
      <c r="L85" s="230"/>
    </row>
    <row r="86" spans="1:12" s="176" customFormat="1" ht="15" customHeight="1" thickTop="1" x14ac:dyDescent="0.25">
      <c r="A86" s="186"/>
      <c r="C86" s="224"/>
      <c r="D86" s="224"/>
      <c r="E86" s="231">
        <f>IF(E85&gt;10000,E85,0)</f>
        <v>100396</v>
      </c>
      <c r="G86" s="224"/>
      <c r="J86" s="232"/>
      <c r="K86" s="232"/>
    </row>
    <row r="87" spans="1:12" s="176" customFormat="1" ht="25.5" customHeight="1" x14ac:dyDescent="0.25">
      <c r="A87" s="186"/>
      <c r="B87" s="233" t="s">
        <v>184</v>
      </c>
      <c r="C87" s="233" t="s">
        <v>185</v>
      </c>
      <c r="D87" s="233" t="s">
        <v>186</v>
      </c>
      <c r="E87" s="233" t="s">
        <v>171</v>
      </c>
      <c r="F87" s="234" t="s">
        <v>187</v>
      </c>
      <c r="G87" s="235" t="s">
        <v>188</v>
      </c>
      <c r="H87" s="233" t="s">
        <v>189</v>
      </c>
      <c r="J87" s="236"/>
      <c r="K87" s="237" t="s">
        <v>190</v>
      </c>
      <c r="L87" s="364" t="s">
        <v>191</v>
      </c>
    </row>
    <row r="88" spans="1:12" s="176" customFormat="1" ht="15" customHeight="1" x14ac:dyDescent="0.25">
      <c r="A88" s="238">
        <v>1</v>
      </c>
      <c r="B88" s="239"/>
      <c r="C88" s="240"/>
      <c r="D88" s="239">
        <v>43997</v>
      </c>
      <c r="E88" s="241">
        <f>E86*0.15</f>
        <v>15059.4</v>
      </c>
      <c r="F88" s="241">
        <f>ROUNDDOWN(+E88,-2)</f>
        <v>15000</v>
      </c>
      <c r="G88" s="241">
        <f>(F88-C88)</f>
        <v>15000</v>
      </c>
      <c r="H88" s="242">
        <f>IF(G88&gt;0,G88*0.12/12*3,0)</f>
        <v>450</v>
      </c>
      <c r="K88" s="237" t="s">
        <v>192</v>
      </c>
      <c r="L88" s="243" t="s">
        <v>193</v>
      </c>
    </row>
    <row r="89" spans="1:12" s="176" customFormat="1" ht="15" customHeight="1" x14ac:dyDescent="0.25">
      <c r="A89" s="238">
        <v>2</v>
      </c>
      <c r="B89" s="239"/>
      <c r="C89" s="240"/>
      <c r="D89" s="239">
        <v>44089</v>
      </c>
      <c r="E89" s="241">
        <f>E86*0.45</f>
        <v>45178.200000000004</v>
      </c>
      <c r="F89" s="241">
        <f>ROUNDDOWN(+E89,-2)</f>
        <v>45100</v>
      </c>
      <c r="G89" s="241">
        <f>(F89-C89-C88)</f>
        <v>45100</v>
      </c>
      <c r="H89" s="242">
        <f>IF(G89&gt;0,G89*0.12/12*3,0)</f>
        <v>1353</v>
      </c>
      <c r="K89" s="244" t="s">
        <v>194</v>
      </c>
      <c r="L89" s="243" t="s">
        <v>195</v>
      </c>
    </row>
    <row r="90" spans="1:12" s="176" customFormat="1" ht="15" customHeight="1" x14ac:dyDescent="0.25">
      <c r="A90" s="238">
        <v>3</v>
      </c>
      <c r="B90" s="239"/>
      <c r="C90" s="240"/>
      <c r="D90" s="239">
        <v>44180</v>
      </c>
      <c r="E90" s="241">
        <f>E86*0.75</f>
        <v>75297</v>
      </c>
      <c r="F90" s="241">
        <f>ROUNDDOWN(+E90,-2)</f>
        <v>75200</v>
      </c>
      <c r="G90" s="241">
        <f>(F90-(C88+C89+C90))</f>
        <v>75200</v>
      </c>
      <c r="H90" s="242">
        <f>IF(G90&gt;0,G90*0.12/12*3,0)</f>
        <v>2256</v>
      </c>
      <c r="K90" s="244" t="s">
        <v>196</v>
      </c>
      <c r="L90" s="243" t="s">
        <v>197</v>
      </c>
    </row>
    <row r="91" spans="1:12" s="176" customFormat="1" ht="15" customHeight="1" x14ac:dyDescent="0.25">
      <c r="A91" s="238">
        <v>4</v>
      </c>
      <c r="B91" s="239"/>
      <c r="C91" s="240"/>
      <c r="D91" s="239">
        <v>44270</v>
      </c>
      <c r="E91" s="241">
        <f>E86*1</f>
        <v>100396</v>
      </c>
      <c r="F91" s="241">
        <f>ROUNDDOWN(+E91,-2)</f>
        <v>100300</v>
      </c>
      <c r="G91" s="241">
        <f>(F91-(C88+C89+C90+C91))</f>
        <v>100300</v>
      </c>
      <c r="H91" s="242">
        <f>IF(G91&gt;0,G91*0.12/12,0)</f>
        <v>1003</v>
      </c>
    </row>
    <row r="92" spans="1:12" s="176" customFormat="1" ht="15" customHeight="1" x14ac:dyDescent="0.25">
      <c r="A92" s="238">
        <v>5</v>
      </c>
      <c r="B92" s="239"/>
      <c r="C92" s="240"/>
      <c r="D92" s="239">
        <v>44286</v>
      </c>
      <c r="F92" s="245"/>
      <c r="G92" s="246"/>
      <c r="H92" s="189"/>
      <c r="I92" s="246"/>
      <c r="J92" s="246"/>
      <c r="K92" s="247"/>
    </row>
    <row r="93" spans="1:12" s="176" customFormat="1" ht="15" customHeight="1" thickBot="1" x14ac:dyDescent="0.3">
      <c r="A93" s="186"/>
      <c r="B93" s="224"/>
      <c r="C93" s="248">
        <f>SUM(C88:C92)</f>
        <v>0</v>
      </c>
      <c r="D93" s="224"/>
      <c r="E93" s="224"/>
      <c r="F93" s="224"/>
      <c r="G93" s="224"/>
      <c r="H93" s="249">
        <f>SUM(H88:H91)</f>
        <v>5062</v>
      </c>
    </row>
    <row r="94" spans="1:12" s="176" customFormat="1" ht="15" customHeight="1" thickTop="1" thickBot="1" x14ac:dyDescent="0.3">
      <c r="A94" s="250"/>
      <c r="B94" s="251"/>
      <c r="C94" s="252"/>
      <c r="D94" s="251"/>
      <c r="E94" s="251"/>
      <c r="F94" s="251"/>
      <c r="G94" s="251"/>
      <c r="H94" s="251"/>
    </row>
    <row r="95" spans="1:12" s="176" customFormat="1" ht="15" customHeight="1" x14ac:dyDescent="0.25">
      <c r="A95" s="186"/>
      <c r="B95" s="219" t="s">
        <v>198</v>
      </c>
      <c r="C95" s="253"/>
      <c r="D95" s="224"/>
      <c r="E95" s="224"/>
      <c r="F95" s="224"/>
      <c r="G95" s="224"/>
      <c r="H95" s="236" t="s">
        <v>189</v>
      </c>
    </row>
    <row r="96" spans="1:12" s="176" customFormat="1" ht="15" customHeight="1" x14ac:dyDescent="0.25">
      <c r="A96" s="186"/>
      <c r="B96" s="223" t="s">
        <v>181</v>
      </c>
      <c r="C96" s="224"/>
      <c r="D96" s="224"/>
      <c r="E96" s="225">
        <f>+E83</f>
        <v>357396</v>
      </c>
      <c r="F96" s="224"/>
      <c r="G96" s="254">
        <v>44287</v>
      </c>
      <c r="H96" s="255">
        <f>F102*0.01</f>
        <v>1003</v>
      </c>
    </row>
    <row r="97" spans="1:10" s="176" customFormat="1" ht="15" customHeight="1" x14ac:dyDescent="0.25">
      <c r="A97" s="186"/>
      <c r="B97" s="256" t="s">
        <v>182</v>
      </c>
      <c r="C97" s="224"/>
      <c r="D97" s="224"/>
      <c r="E97" s="225">
        <f>+E84*-1</f>
        <v>-257000</v>
      </c>
      <c r="F97" s="224"/>
      <c r="G97" s="254">
        <v>44317</v>
      </c>
      <c r="H97" s="255">
        <f>+H96</f>
        <v>1003</v>
      </c>
    </row>
    <row r="98" spans="1:10" s="176" customFormat="1" ht="15" customHeight="1" thickBot="1" x14ac:dyDescent="0.3">
      <c r="A98" s="186"/>
      <c r="B98" s="256"/>
      <c r="C98" s="224"/>
      <c r="D98" s="224"/>
      <c r="E98" s="228">
        <f>E96+E97</f>
        <v>100396</v>
      </c>
      <c r="G98" s="254">
        <v>44348</v>
      </c>
      <c r="H98" s="255">
        <f>+H97</f>
        <v>1003</v>
      </c>
    </row>
    <row r="99" spans="1:10" s="176" customFormat="1" ht="15" customHeight="1" thickTop="1" x14ac:dyDescent="0.25">
      <c r="A99" s="186"/>
      <c r="F99" s="224"/>
      <c r="G99" s="254">
        <v>44378</v>
      </c>
      <c r="H99" s="255">
        <f t="shared" ref="H99:H104" si="0">+H98</f>
        <v>1003</v>
      </c>
    </row>
    <row r="100" spans="1:10" s="176" customFormat="1" ht="15" customHeight="1" x14ac:dyDescent="0.25">
      <c r="A100" s="186"/>
      <c r="B100" s="224" t="s">
        <v>199</v>
      </c>
      <c r="C100" s="253"/>
      <c r="D100" s="257">
        <v>0.9</v>
      </c>
      <c r="E100" s="357">
        <f>ROUND(E98*90%,0)</f>
        <v>90356</v>
      </c>
      <c r="F100" s="358"/>
      <c r="G100" s="254">
        <v>44409</v>
      </c>
      <c r="H100" s="255">
        <f t="shared" si="0"/>
        <v>1003</v>
      </c>
    </row>
    <row r="101" spans="1:10" s="176" customFormat="1" ht="15" customHeight="1" x14ac:dyDescent="0.25">
      <c r="A101" s="186"/>
      <c r="B101" s="224" t="s">
        <v>200</v>
      </c>
      <c r="C101" s="253"/>
      <c r="D101" s="224"/>
      <c r="E101" s="359">
        <f>ROUND(+C93,0)</f>
        <v>0</v>
      </c>
      <c r="F101" s="358"/>
      <c r="G101" s="254">
        <v>44440</v>
      </c>
      <c r="H101" s="255">
        <f t="shared" si="0"/>
        <v>1003</v>
      </c>
    </row>
    <row r="102" spans="1:10" s="176" customFormat="1" ht="15" customHeight="1" x14ac:dyDescent="0.25">
      <c r="A102" s="186"/>
      <c r="B102" s="176" t="s">
        <v>201</v>
      </c>
      <c r="C102" s="253"/>
      <c r="D102" s="224"/>
      <c r="E102" s="359">
        <f>E98-E101</f>
        <v>100396</v>
      </c>
      <c r="F102" s="359">
        <f>ROUNDDOWN(E102,-2)</f>
        <v>100300</v>
      </c>
      <c r="G102" s="254">
        <v>44470</v>
      </c>
      <c r="H102" s="255">
        <f t="shared" si="0"/>
        <v>1003</v>
      </c>
    </row>
    <row r="103" spans="1:10" s="176" customFormat="1" ht="15" customHeight="1" x14ac:dyDescent="0.25">
      <c r="A103" s="186"/>
      <c r="B103" s="224"/>
      <c r="C103" s="253"/>
      <c r="D103" s="257"/>
      <c r="E103" s="258"/>
      <c r="F103" s="224"/>
      <c r="G103" s="254">
        <v>44501</v>
      </c>
      <c r="H103" s="255">
        <f t="shared" si="0"/>
        <v>1003</v>
      </c>
    </row>
    <row r="104" spans="1:10" s="176" customFormat="1" ht="15" customHeight="1" x14ac:dyDescent="0.25">
      <c r="A104" s="186"/>
      <c r="B104" s="224"/>
      <c r="C104" s="253"/>
      <c r="D104" s="257"/>
      <c r="E104" s="258"/>
      <c r="F104" s="224"/>
      <c r="G104" s="254">
        <v>44531</v>
      </c>
      <c r="H104" s="255">
        <f t="shared" si="0"/>
        <v>1003</v>
      </c>
    </row>
    <row r="105" spans="1:10" s="176" customFormat="1" ht="15" customHeight="1" thickBot="1" x14ac:dyDescent="0.3">
      <c r="A105" s="186"/>
      <c r="G105" s="259"/>
      <c r="H105" s="249">
        <f>SUM(H96:H104)</f>
        <v>9027</v>
      </c>
    </row>
    <row r="106" spans="1:10" s="176" customFormat="1" ht="15" customHeight="1" thickTop="1" thickBot="1" x14ac:dyDescent="0.3">
      <c r="A106" s="250"/>
      <c r="B106" s="260"/>
      <c r="C106" s="261"/>
      <c r="D106" s="260"/>
      <c r="E106" s="262"/>
      <c r="F106" s="263"/>
      <c r="G106" s="251"/>
      <c r="H106" s="264"/>
    </row>
    <row r="107" spans="1:10" s="176" customFormat="1" ht="15" customHeight="1" x14ac:dyDescent="0.25">
      <c r="A107" s="186"/>
      <c r="B107" s="219" t="s">
        <v>202</v>
      </c>
      <c r="C107" s="265"/>
      <c r="D107" s="265"/>
      <c r="E107" s="265"/>
      <c r="F107" s="265"/>
      <c r="G107" s="265"/>
      <c r="H107" s="265"/>
      <c r="I107" s="265"/>
      <c r="J107" s="253"/>
    </row>
    <row r="108" spans="1:10" s="176" customFormat="1" ht="15" customHeight="1" x14ac:dyDescent="0.25">
      <c r="A108" s="186"/>
      <c r="B108" s="223" t="s">
        <v>181</v>
      </c>
      <c r="C108" s="224"/>
      <c r="D108" s="224"/>
      <c r="E108" s="225">
        <f>+E83</f>
        <v>357396</v>
      </c>
      <c r="F108" s="265"/>
      <c r="G108" s="224"/>
      <c r="H108" s="236" t="s">
        <v>189</v>
      </c>
      <c r="I108" s="265"/>
      <c r="J108" s="253"/>
    </row>
    <row r="109" spans="1:10" s="176" customFormat="1" ht="15" customHeight="1" x14ac:dyDescent="0.25">
      <c r="A109" s="186"/>
      <c r="B109" s="256" t="s">
        <v>182</v>
      </c>
      <c r="C109" s="224"/>
      <c r="D109" s="224"/>
      <c r="E109" s="225">
        <f>-E84</f>
        <v>-257000</v>
      </c>
      <c r="F109" s="265"/>
      <c r="G109" s="254">
        <v>44409</v>
      </c>
      <c r="H109" s="255">
        <f>+E111*0.01</f>
        <v>1003</v>
      </c>
      <c r="I109" s="265"/>
      <c r="J109" s="253"/>
    </row>
    <row r="110" spans="1:10" s="176" customFormat="1" ht="15" customHeight="1" thickBot="1" x14ac:dyDescent="0.3">
      <c r="A110" s="186"/>
      <c r="B110" s="256"/>
      <c r="C110" s="224"/>
      <c r="D110" s="224"/>
      <c r="E110" s="228">
        <f>SUM(E108:E109)</f>
        <v>100396</v>
      </c>
      <c r="F110" s="265"/>
      <c r="G110" s="254">
        <v>44440</v>
      </c>
      <c r="H110" s="255">
        <f>+H109</f>
        <v>1003</v>
      </c>
      <c r="I110" s="265"/>
      <c r="J110" s="253"/>
    </row>
    <row r="111" spans="1:10" s="176" customFormat="1" ht="15" customHeight="1" thickTop="1" x14ac:dyDescent="0.25">
      <c r="A111" s="186"/>
      <c r="B111" s="256"/>
      <c r="C111" s="224"/>
      <c r="D111" s="224"/>
      <c r="E111" s="241">
        <f>ROUNDDOWN(+E110,-2)</f>
        <v>100300</v>
      </c>
      <c r="F111" s="265"/>
      <c r="G111" s="254">
        <v>44470</v>
      </c>
      <c r="H111" s="255">
        <f t="shared" ref="H111:H113" si="1">+H110</f>
        <v>1003</v>
      </c>
      <c r="I111" s="265"/>
      <c r="J111" s="253"/>
    </row>
    <row r="112" spans="1:10" s="176" customFormat="1" ht="15" customHeight="1" x14ac:dyDescent="0.25">
      <c r="A112" s="186"/>
      <c r="B112" s="256"/>
      <c r="C112" s="224"/>
      <c r="D112" s="224"/>
      <c r="E112" s="225"/>
      <c r="F112" s="265"/>
      <c r="G112" s="254">
        <v>44501</v>
      </c>
      <c r="H112" s="255">
        <f t="shared" si="1"/>
        <v>1003</v>
      </c>
      <c r="I112" s="265"/>
      <c r="J112" s="253"/>
    </row>
    <row r="113" spans="1:12" s="176" customFormat="1" ht="15" customHeight="1" x14ac:dyDescent="0.25">
      <c r="A113" s="186"/>
      <c r="B113" s="256"/>
      <c r="C113" s="224"/>
      <c r="D113" s="224"/>
      <c r="E113" s="225"/>
      <c r="F113" s="265"/>
      <c r="G113" s="254">
        <v>44531</v>
      </c>
      <c r="H113" s="255">
        <f t="shared" si="1"/>
        <v>1003</v>
      </c>
      <c r="I113" s="265"/>
      <c r="J113" s="253"/>
    </row>
    <row r="114" spans="1:12" s="176" customFormat="1" ht="15" customHeight="1" thickBot="1" x14ac:dyDescent="0.3">
      <c r="A114" s="186"/>
      <c r="F114" s="265"/>
      <c r="G114" s="259"/>
      <c r="H114" s="249">
        <f>SUM(H109:H113)</f>
        <v>5015</v>
      </c>
      <c r="I114" s="265"/>
      <c r="J114" s="253"/>
    </row>
    <row r="115" spans="1:12" s="176" customFormat="1" ht="15" customHeight="1" thickTop="1" x14ac:dyDescent="0.25">
      <c r="A115" s="186"/>
      <c r="C115" s="224"/>
      <c r="D115" s="224"/>
      <c r="F115" s="265"/>
      <c r="G115" s="265"/>
      <c r="H115" s="265"/>
      <c r="I115" s="265"/>
      <c r="J115" s="253"/>
    </row>
    <row r="116" spans="1:12" s="176" customFormat="1" ht="15" customHeight="1" thickBot="1" x14ac:dyDescent="0.3">
      <c r="A116" s="186"/>
      <c r="C116" s="224"/>
      <c r="D116" s="224"/>
      <c r="E116" s="241"/>
      <c r="F116" s="265"/>
      <c r="G116" s="265"/>
      <c r="H116" s="265"/>
      <c r="I116" s="265"/>
      <c r="J116" s="253"/>
    </row>
    <row r="117" spans="1:12" s="269" customFormat="1" ht="15" customHeight="1" x14ac:dyDescent="0.25">
      <c r="A117" s="266" t="s">
        <v>203</v>
      </c>
      <c r="B117" s="267"/>
      <c r="C117" s="268"/>
      <c r="D117" s="268"/>
      <c r="E117" s="268"/>
      <c r="F117" s="268"/>
      <c r="G117" s="453" t="s">
        <v>204</v>
      </c>
      <c r="H117" s="454"/>
      <c r="J117" s="180"/>
      <c r="K117" s="176"/>
      <c r="L117" s="176"/>
    </row>
    <row r="118" spans="1:12" s="269" customFormat="1" ht="15" customHeight="1" x14ac:dyDescent="0.25">
      <c r="A118" s="271" t="s">
        <v>205</v>
      </c>
      <c r="B118" s="180"/>
      <c r="C118" s="188"/>
      <c r="D118" s="188"/>
      <c r="E118" s="188"/>
      <c r="F118" s="188"/>
      <c r="G118" s="180"/>
      <c r="H118" s="184"/>
      <c r="J118" s="180"/>
      <c r="K118" s="272"/>
      <c r="L118" s="270"/>
    </row>
    <row r="119" spans="1:12" s="269" customFormat="1" ht="15" customHeight="1" x14ac:dyDescent="0.25">
      <c r="A119" s="271" t="s">
        <v>206</v>
      </c>
      <c r="B119" s="180"/>
      <c r="C119" s="188"/>
      <c r="D119" s="188"/>
      <c r="E119" s="188"/>
      <c r="F119" s="188"/>
      <c r="G119" s="180"/>
      <c r="H119" s="184"/>
      <c r="J119" s="180"/>
      <c r="K119" s="272"/>
      <c r="L119" s="270"/>
    </row>
    <row r="120" spans="1:12" s="269" customFormat="1" ht="15" customHeight="1" x14ac:dyDescent="0.2">
      <c r="A120" s="273" t="s">
        <v>207</v>
      </c>
      <c r="B120" s="440" t="s">
        <v>208</v>
      </c>
      <c r="C120" s="440"/>
      <c r="D120" s="440"/>
      <c r="E120" s="440"/>
      <c r="F120" s="440"/>
      <c r="G120" s="440"/>
      <c r="H120" s="441"/>
      <c r="I120" s="208"/>
      <c r="K120" s="274" t="s">
        <v>209</v>
      </c>
      <c r="L120" s="270"/>
    </row>
    <row r="121" spans="1:12" s="269" customFormat="1" ht="26.25" customHeight="1" x14ac:dyDescent="0.2">
      <c r="A121" s="273" t="s">
        <v>210</v>
      </c>
      <c r="B121" s="440" t="s">
        <v>211</v>
      </c>
      <c r="C121" s="440"/>
      <c r="D121" s="440"/>
      <c r="E121" s="440"/>
      <c r="F121" s="440"/>
      <c r="G121" s="440"/>
      <c r="H121" s="441"/>
      <c r="I121" s="208"/>
      <c r="K121" s="274" t="s">
        <v>212</v>
      </c>
      <c r="L121" s="270"/>
    </row>
    <row r="122" spans="1:12" s="269" customFormat="1" ht="26.25" customHeight="1" x14ac:dyDescent="0.2">
      <c r="A122" s="273" t="s">
        <v>213</v>
      </c>
      <c r="B122" s="440" t="s">
        <v>214</v>
      </c>
      <c r="C122" s="440"/>
      <c r="D122" s="440"/>
      <c r="E122" s="440"/>
      <c r="F122" s="440"/>
      <c r="G122" s="440"/>
      <c r="H122" s="441"/>
      <c r="I122" s="208"/>
      <c r="K122" s="274" t="s">
        <v>215</v>
      </c>
      <c r="L122" s="270"/>
    </row>
    <row r="123" spans="1:12" s="269" customFormat="1" ht="26.25" customHeight="1" x14ac:dyDescent="0.2">
      <c r="A123" s="273" t="s">
        <v>216</v>
      </c>
      <c r="B123" s="440" t="s">
        <v>217</v>
      </c>
      <c r="C123" s="440"/>
      <c r="D123" s="440"/>
      <c r="E123" s="440"/>
      <c r="F123" s="440"/>
      <c r="G123" s="440"/>
      <c r="H123" s="441"/>
      <c r="I123" s="208"/>
      <c r="K123" s="274" t="s">
        <v>218</v>
      </c>
      <c r="L123" s="270"/>
    </row>
    <row r="124" spans="1:12" s="269" customFormat="1" ht="15" customHeight="1" x14ac:dyDescent="0.2">
      <c r="A124" s="273" t="s">
        <v>219</v>
      </c>
      <c r="B124" s="440" t="s">
        <v>220</v>
      </c>
      <c r="C124" s="440"/>
      <c r="D124" s="440"/>
      <c r="E124" s="440"/>
      <c r="F124" s="440"/>
      <c r="G124" s="440"/>
      <c r="H124" s="441"/>
      <c r="I124" s="208"/>
      <c r="K124" s="274" t="s">
        <v>221</v>
      </c>
      <c r="L124" s="270"/>
    </row>
    <row r="125" spans="1:12" s="269" customFormat="1" ht="15" customHeight="1" x14ac:dyDescent="0.2">
      <c r="A125" s="273" t="s">
        <v>222</v>
      </c>
      <c r="B125" s="440" t="s">
        <v>223</v>
      </c>
      <c r="C125" s="440"/>
      <c r="D125" s="440"/>
      <c r="E125" s="440"/>
      <c r="F125" s="440"/>
      <c r="G125" s="440"/>
      <c r="H125" s="441"/>
      <c r="I125" s="208"/>
      <c r="K125" s="274" t="s">
        <v>224</v>
      </c>
      <c r="L125" s="270"/>
    </row>
    <row r="126" spans="1:12" s="269" customFormat="1" ht="25.5" customHeight="1" x14ac:dyDescent="0.2">
      <c r="A126" s="275"/>
      <c r="B126" s="442" t="s">
        <v>225</v>
      </c>
      <c r="C126" s="442"/>
      <c r="D126" s="442"/>
      <c r="E126" s="442"/>
      <c r="F126" s="442"/>
      <c r="G126" s="442"/>
      <c r="H126" s="443"/>
      <c r="J126" s="276"/>
      <c r="K126" s="180"/>
    </row>
    <row r="127" spans="1:12" s="269" customFormat="1" ht="15" customHeight="1" thickBot="1" x14ac:dyDescent="0.25">
      <c r="A127" s="277"/>
      <c r="B127" s="444" t="s">
        <v>226</v>
      </c>
      <c r="C127" s="444"/>
      <c r="D127" s="444"/>
      <c r="E127" s="444"/>
      <c r="F127" s="444"/>
      <c r="G127" s="444"/>
      <c r="H127" s="278"/>
      <c r="J127" s="276"/>
    </row>
    <row r="128" spans="1:12" s="269" customFormat="1" ht="15" customHeight="1" thickBot="1" x14ac:dyDescent="0.25">
      <c r="A128" s="279"/>
      <c r="B128" s="365"/>
      <c r="C128" s="365"/>
      <c r="D128" s="365"/>
      <c r="E128" s="365"/>
      <c r="F128" s="365"/>
      <c r="G128" s="365"/>
      <c r="H128" s="180"/>
      <c r="J128" s="276"/>
    </row>
    <row r="129" spans="1:10" s="269" customFormat="1" ht="15" customHeight="1" x14ac:dyDescent="0.25">
      <c r="A129" s="266" t="s">
        <v>203</v>
      </c>
      <c r="B129" s="280"/>
      <c r="C129" s="280"/>
      <c r="D129" s="280"/>
      <c r="E129" s="280"/>
      <c r="F129" s="280"/>
      <c r="G129" s="445" t="s">
        <v>227</v>
      </c>
      <c r="H129" s="446"/>
      <c r="J129" s="276"/>
    </row>
    <row r="130" spans="1:10" s="176" customFormat="1" ht="15" customHeight="1" x14ac:dyDescent="0.25">
      <c r="A130" s="271" t="s">
        <v>228</v>
      </c>
      <c r="B130" s="177"/>
      <c r="C130" s="209"/>
      <c r="D130" s="209"/>
      <c r="E130" s="209"/>
      <c r="F130" s="281"/>
      <c r="G130" s="282"/>
      <c r="H130" s="187"/>
      <c r="J130" s="276"/>
    </row>
    <row r="131" spans="1:10" s="176" customFormat="1" ht="15" customHeight="1" x14ac:dyDescent="0.25">
      <c r="A131" s="271" t="s">
        <v>229</v>
      </c>
      <c r="B131" s="177"/>
      <c r="C131" s="209"/>
      <c r="D131" s="209"/>
      <c r="E131" s="209"/>
      <c r="F131" s="281"/>
      <c r="G131" s="282"/>
      <c r="H131" s="187"/>
      <c r="J131" s="276"/>
    </row>
    <row r="132" spans="1:10" s="176" customFormat="1" ht="15" customHeight="1" x14ac:dyDescent="0.25">
      <c r="A132" s="179"/>
      <c r="B132" s="283" t="s">
        <v>230</v>
      </c>
      <c r="C132" s="177"/>
      <c r="D132" s="284" t="s">
        <v>231</v>
      </c>
      <c r="E132" s="177"/>
      <c r="F132" s="281"/>
      <c r="G132" s="282"/>
      <c r="H132" s="187"/>
      <c r="J132" s="276"/>
    </row>
    <row r="133" spans="1:10" s="176" customFormat="1" ht="15" customHeight="1" x14ac:dyDescent="0.25">
      <c r="A133" s="179"/>
      <c r="B133" s="283" t="s">
        <v>232</v>
      </c>
      <c r="C133" s="177"/>
      <c r="D133" s="284" t="s">
        <v>233</v>
      </c>
      <c r="E133" s="177"/>
      <c r="F133" s="281"/>
      <c r="G133" s="282"/>
      <c r="H133" s="187"/>
      <c r="J133" s="276"/>
    </row>
    <row r="134" spans="1:10" s="176" customFormat="1" ht="15" customHeight="1" x14ac:dyDescent="0.25">
      <c r="A134" s="179"/>
      <c r="B134" s="283" t="s">
        <v>234</v>
      </c>
      <c r="C134" s="177"/>
      <c r="D134" s="284" t="s">
        <v>235</v>
      </c>
      <c r="E134" s="177"/>
      <c r="F134" s="281"/>
      <c r="G134" s="282"/>
      <c r="H134" s="187"/>
      <c r="J134" s="276"/>
    </row>
    <row r="135" spans="1:10" s="176" customFormat="1" ht="15" customHeight="1" x14ac:dyDescent="0.25">
      <c r="A135" s="179"/>
      <c r="B135" s="285" t="s">
        <v>236</v>
      </c>
      <c r="C135" s="177"/>
      <c r="D135" s="284" t="s">
        <v>237</v>
      </c>
      <c r="E135" s="177"/>
      <c r="F135" s="281"/>
      <c r="G135" s="282"/>
      <c r="H135" s="187"/>
      <c r="J135" s="276"/>
    </row>
    <row r="136" spans="1:10" s="176" customFormat="1" ht="15" customHeight="1" x14ac:dyDescent="0.25">
      <c r="A136" s="179"/>
      <c r="B136" s="283" t="s">
        <v>238</v>
      </c>
      <c r="C136" s="177"/>
      <c r="D136" s="284" t="s">
        <v>239</v>
      </c>
      <c r="E136" s="177"/>
      <c r="F136" s="281"/>
      <c r="G136" s="282"/>
      <c r="H136" s="187"/>
      <c r="J136" s="276"/>
    </row>
    <row r="137" spans="1:10" s="176" customFormat="1" ht="15" customHeight="1" x14ac:dyDescent="0.25">
      <c r="A137" s="179"/>
      <c r="B137" s="283" t="s">
        <v>240</v>
      </c>
      <c r="C137" s="177"/>
      <c r="D137" s="284" t="s">
        <v>241</v>
      </c>
      <c r="E137" s="177"/>
      <c r="F137" s="281"/>
      <c r="G137" s="282"/>
      <c r="H137" s="187"/>
    </row>
    <row r="138" spans="1:10" s="176" customFormat="1" ht="15" customHeight="1" x14ac:dyDescent="0.25">
      <c r="A138" s="179"/>
      <c r="B138" s="285" t="s">
        <v>242</v>
      </c>
      <c r="C138" s="177"/>
      <c r="D138" s="284" t="s">
        <v>243</v>
      </c>
      <c r="E138" s="177"/>
      <c r="F138" s="281"/>
      <c r="G138" s="282"/>
      <c r="H138" s="187"/>
    </row>
    <row r="139" spans="1:10" s="176" customFormat="1" ht="15" customHeight="1" thickBot="1" x14ac:dyDescent="0.3">
      <c r="A139" s="286"/>
      <c r="B139" s="287" t="s">
        <v>244</v>
      </c>
      <c r="C139" s="260"/>
      <c r="D139" s="288" t="s">
        <v>245</v>
      </c>
      <c r="E139" s="260"/>
      <c r="F139" s="260"/>
      <c r="G139" s="260"/>
      <c r="H139" s="289"/>
    </row>
    <row r="140" spans="1:10" s="176" customFormat="1" ht="15" customHeight="1" thickBot="1" x14ac:dyDescent="0.3">
      <c r="A140" s="186"/>
    </row>
    <row r="141" spans="1:10" s="176" customFormat="1" ht="15" customHeight="1" x14ac:dyDescent="0.25">
      <c r="A141" s="290"/>
      <c r="B141" s="291" t="s">
        <v>246</v>
      </c>
      <c r="C141" s="292"/>
      <c r="D141" s="293"/>
      <c r="E141" s="294" t="s">
        <v>247</v>
      </c>
      <c r="F141" s="295"/>
      <c r="G141" s="296" t="s">
        <v>248</v>
      </c>
      <c r="H141" s="297"/>
    </row>
    <row r="142" spans="1:10" s="176" customFormat="1" ht="15" customHeight="1" x14ac:dyDescent="0.25">
      <c r="A142" s="290"/>
      <c r="B142" s="298" t="s">
        <v>48</v>
      </c>
      <c r="C142" s="299"/>
      <c r="D142" s="300"/>
      <c r="E142" s="301" t="s">
        <v>249</v>
      </c>
      <c r="F142" s="177"/>
      <c r="G142" s="301" t="s">
        <v>250</v>
      </c>
      <c r="H142" s="187"/>
    </row>
    <row r="143" spans="1:10" s="176" customFormat="1" ht="15" customHeight="1" x14ac:dyDescent="0.25">
      <c r="A143" s="290"/>
      <c r="B143" s="298" t="s">
        <v>251</v>
      </c>
      <c r="C143" s="299"/>
      <c r="D143" s="300"/>
      <c r="E143" s="301" t="s">
        <v>252</v>
      </c>
      <c r="F143" s="177"/>
      <c r="G143" s="301" t="s">
        <v>253</v>
      </c>
      <c r="H143" s="187"/>
    </row>
    <row r="144" spans="1:10" s="176" customFormat="1" ht="15" customHeight="1" x14ac:dyDescent="0.25">
      <c r="A144" s="290"/>
      <c r="B144" s="298" t="s">
        <v>173</v>
      </c>
      <c r="C144" s="299"/>
      <c r="D144" s="300"/>
      <c r="E144" s="301" t="s">
        <v>254</v>
      </c>
      <c r="F144" s="177"/>
      <c r="G144" s="177"/>
      <c r="H144" s="187"/>
    </row>
    <row r="145" spans="1:8" s="176" customFormat="1" ht="15" customHeight="1" x14ac:dyDescent="0.25">
      <c r="A145" s="290"/>
      <c r="B145" s="298" t="s">
        <v>49</v>
      </c>
      <c r="C145" s="299"/>
      <c r="D145" s="300"/>
      <c r="E145" s="301" t="s">
        <v>255</v>
      </c>
      <c r="F145" s="177"/>
      <c r="G145" s="177"/>
      <c r="H145" s="187"/>
    </row>
    <row r="146" spans="1:8" s="176" customFormat="1" ht="15" customHeight="1" x14ac:dyDescent="0.25">
      <c r="A146" s="290"/>
      <c r="B146" s="298" t="s">
        <v>52</v>
      </c>
      <c r="C146" s="299"/>
      <c r="D146" s="300"/>
      <c r="E146" s="177"/>
      <c r="F146" s="177"/>
      <c r="G146" s="177"/>
      <c r="H146" s="187"/>
    </row>
    <row r="147" spans="1:8" s="176" customFormat="1" ht="15" customHeight="1" x14ac:dyDescent="0.25">
      <c r="A147" s="290"/>
      <c r="B147" s="298" t="s">
        <v>256</v>
      </c>
      <c r="C147" s="299"/>
      <c r="D147" s="300"/>
      <c r="E147" s="177"/>
      <c r="F147" s="177"/>
      <c r="G147" s="177"/>
      <c r="H147" s="187"/>
    </row>
    <row r="148" spans="1:8" s="176" customFormat="1" ht="15" customHeight="1" x14ac:dyDescent="0.25">
      <c r="A148" s="290"/>
      <c r="B148" s="298" t="s">
        <v>257</v>
      </c>
      <c r="C148" s="299"/>
      <c r="D148" s="302">
        <f>SUM(C142:C148)</f>
        <v>0</v>
      </c>
      <c r="E148" s="177"/>
      <c r="F148" s="177"/>
      <c r="G148" s="177"/>
      <c r="H148" s="187"/>
    </row>
    <row r="149" spans="1:8" s="176" customFormat="1" ht="15" customHeight="1" x14ac:dyDescent="0.25">
      <c r="A149" s="290"/>
      <c r="B149" s="303" t="s">
        <v>258</v>
      </c>
      <c r="C149" s="299"/>
      <c r="D149" s="304"/>
      <c r="E149" s="305"/>
      <c r="F149" s="177"/>
      <c r="G149" s="177"/>
      <c r="H149" s="187"/>
    </row>
    <row r="150" spans="1:8" s="176" customFormat="1" ht="15" customHeight="1" x14ac:dyDescent="0.25">
      <c r="A150" s="290"/>
      <c r="B150" s="298" t="s">
        <v>259</v>
      </c>
      <c r="C150" s="306"/>
      <c r="D150" s="304"/>
      <c r="E150" s="177"/>
      <c r="F150" s="177"/>
      <c r="G150" s="177"/>
      <c r="H150" s="187"/>
    </row>
    <row r="151" spans="1:8" s="176" customFormat="1" ht="15" customHeight="1" x14ac:dyDescent="0.25">
      <c r="A151" s="290"/>
      <c r="B151" s="298" t="s">
        <v>260</v>
      </c>
      <c r="C151" s="306"/>
      <c r="D151" s="304"/>
      <c r="E151" s="177"/>
      <c r="F151" s="177"/>
      <c r="G151" s="177"/>
      <c r="H151" s="187"/>
    </row>
    <row r="152" spans="1:8" s="176" customFormat="1" ht="15" customHeight="1" x14ac:dyDescent="0.25">
      <c r="A152" s="290"/>
      <c r="B152" s="298" t="s">
        <v>261</v>
      </c>
      <c r="C152" s="306"/>
      <c r="D152" s="304">
        <f>SUM(C150:C152)</f>
        <v>0</v>
      </c>
      <c r="E152" s="177"/>
      <c r="F152" s="177"/>
      <c r="G152" s="177"/>
      <c r="H152" s="187"/>
    </row>
    <row r="153" spans="1:8" s="176" customFormat="1" ht="15" customHeight="1" thickBot="1" x14ac:dyDescent="0.3">
      <c r="A153" s="290"/>
      <c r="B153" s="307" t="s">
        <v>262</v>
      </c>
      <c r="C153" s="308"/>
      <c r="D153" s="309"/>
      <c r="E153" s="260"/>
      <c r="F153" s="260"/>
      <c r="G153" s="260"/>
      <c r="H153" s="289"/>
    </row>
    <row r="154" spans="1:8" s="176" customFormat="1" ht="15" customHeight="1" x14ac:dyDescent="0.25">
      <c r="A154" s="290"/>
      <c r="B154" s="304"/>
      <c r="D154" s="310">
        <f>D148+D152+D153</f>
        <v>0</v>
      </c>
    </row>
  </sheetData>
  <mergeCells count="22">
    <mergeCell ref="B125:H125"/>
    <mergeCell ref="B126:H126"/>
    <mergeCell ref="B127:G127"/>
    <mergeCell ref="G129:H129"/>
    <mergeCell ref="G117:H117"/>
    <mergeCell ref="B120:H120"/>
    <mergeCell ref="B121:H121"/>
    <mergeCell ref="B122:H122"/>
    <mergeCell ref="B123:H123"/>
    <mergeCell ref="B124:H124"/>
    <mergeCell ref="K82:L82"/>
    <mergeCell ref="A1:F1"/>
    <mergeCell ref="A2:F2"/>
    <mergeCell ref="C62:D62"/>
    <mergeCell ref="C63:D63"/>
    <mergeCell ref="C64:D64"/>
    <mergeCell ref="C65:F65"/>
    <mergeCell ref="F69:H69"/>
    <mergeCell ref="K69:L69"/>
    <mergeCell ref="F70:G70"/>
    <mergeCell ref="F71:G71"/>
    <mergeCell ref="K74:L74"/>
  </mergeCells>
  <printOptions horizontalCentered="1" verticalCentered="1"/>
  <pageMargins left="0.19685039370078741" right="0.19685039370078741" top="0.19685039370078741" bottom="0.19685039370078741" header="0" footer="0"/>
  <pageSetup paperSize="9" scale="8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87A (2)</vt:lpstr>
      <vt:lpstr>Case-MLN</vt:lpstr>
      <vt:lpstr>Test-Dec 21</vt:lpstr>
      <vt:lpstr>Cals-Oct-21</vt:lpstr>
      <vt:lpstr>Cals-Dec-21</vt:lpstr>
      <vt:lpstr>'87A (2)'!Print_Area</vt:lpstr>
      <vt:lpstr>'Cals-Dec-21'!Print_Area</vt:lpstr>
      <vt:lpstr>'Cals-Oct-21'!Print_Area</vt:lpstr>
      <vt:lpstr>'Case-MLN'!Print_Area</vt:lpstr>
      <vt:lpstr>'Test-Dec 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Rathore</dc:creator>
  <cp:lastModifiedBy>Tax Doctor</cp:lastModifiedBy>
  <cp:lastPrinted>2021-10-23T03:11:15Z</cp:lastPrinted>
  <dcterms:created xsi:type="dcterms:W3CDTF">2020-02-01T16:48:59Z</dcterms:created>
  <dcterms:modified xsi:type="dcterms:W3CDTF">2021-10-23T10:43:06Z</dcterms:modified>
</cp:coreProperties>
</file>