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A4CC2DAB-0F55-4E82-BD25-36B9E45B93B2}" xr6:coauthVersionLast="47" xr6:coauthVersionMax="47" xr10:uidLastSave="{00000000-0000-0000-0000-000000000000}"/>
  <bookViews>
    <workbookView xWindow="-108" yWindow="-108" windowWidth="23256" windowHeight="12720" xr2:uid="{C76FBE4E-13EB-4FCC-AB2B-A3398D205154}"/>
  </bookViews>
  <sheets>
    <sheet name="12" sheetId="1" r:id="rId1"/>
  </sheets>
  <externalReferences>
    <externalReference r:id="rId2"/>
  </externalReferences>
  <definedNames>
    <definedName name="newbasicPB4">[1]Sheet1!$T$4:$T$37</definedName>
    <definedName name="oldbasicPB4">[1]Sheet1!$S$4:$S$37</definedName>
    <definedName name="_xlnm.Print_Area" localSheetId="0">'12'!$A$1:$I$64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69" i="1" l="1"/>
  <c r="D166" i="1"/>
  <c r="D162" i="1"/>
  <c r="D168" i="1" s="1"/>
  <c r="E123" i="1"/>
  <c r="E115" i="1"/>
  <c r="C104" i="1"/>
  <c r="L101" i="1"/>
  <c r="C101" i="1"/>
  <c r="C105" i="1" s="1"/>
  <c r="E113" i="1" s="1"/>
  <c r="G98" i="1"/>
  <c r="H96" i="1"/>
  <c r="E109" i="1" s="1"/>
  <c r="L95" i="1"/>
  <c r="M63" i="1"/>
  <c r="H61" i="1"/>
  <c r="L53" i="1"/>
  <c r="M44" i="1"/>
  <c r="M43" i="1"/>
  <c r="G41" i="1"/>
  <c r="H41" i="1" s="1"/>
  <c r="F40" i="1"/>
  <c r="D39" i="1"/>
  <c r="F38" i="1"/>
  <c r="D38" i="1"/>
  <c r="F37" i="1"/>
  <c r="D37" i="1"/>
  <c r="G33" i="1"/>
  <c r="E47" i="1" s="1"/>
  <c r="G47" i="1" s="1"/>
  <c r="G32" i="1"/>
  <c r="F39" i="1" s="1"/>
  <c r="B37" i="1" s="1"/>
  <c r="G31" i="1"/>
  <c r="G28" i="1"/>
  <c r="F26" i="1"/>
  <c r="G26" i="1" s="1"/>
  <c r="F25" i="1"/>
  <c r="G24" i="1"/>
  <c r="G27" i="1" s="1"/>
  <c r="G29" i="1" s="1"/>
  <c r="F22" i="1"/>
  <c r="F21" i="1"/>
  <c r="G22" i="1" s="1"/>
  <c r="F17" i="1"/>
  <c r="G13" i="1"/>
  <c r="G15" i="1" s="1"/>
  <c r="L6" i="1"/>
  <c r="F6" i="1"/>
  <c r="F5" i="1"/>
  <c r="G7" i="1" s="1"/>
  <c r="I2" i="1"/>
  <c r="D74" i="1" l="1"/>
  <c r="D75" i="1" s="1"/>
  <c r="E46" i="1"/>
  <c r="G46" i="1" s="1"/>
  <c r="H29" i="1"/>
  <c r="H69" i="1" s="1"/>
  <c r="C74" i="1"/>
  <c r="C75" i="1" s="1"/>
  <c r="E45" i="1"/>
  <c r="G45" i="1" s="1"/>
  <c r="M56" i="1"/>
  <c r="M58" i="1" s="1"/>
  <c r="M59" i="1" s="1"/>
  <c r="G8" i="1"/>
  <c r="G10" i="1" s="1"/>
  <c r="F16" i="1"/>
  <c r="G17" i="1" s="1"/>
  <c r="H17" i="1" s="1"/>
  <c r="H68" i="1" s="1"/>
  <c r="E122" i="1"/>
  <c r="E74" i="1"/>
  <c r="E75" i="1" s="1"/>
  <c r="E96" i="1"/>
  <c r="H33" i="1"/>
  <c r="H70" i="1" s="1"/>
  <c r="H67" i="1" l="1"/>
  <c r="H71" i="1" s="1"/>
  <c r="B74" i="1" s="1"/>
  <c r="H11" i="1"/>
  <c r="H35" i="1" s="1"/>
  <c r="E42" i="1" s="1"/>
  <c r="H42" i="1" s="1"/>
  <c r="M60" i="1"/>
  <c r="M61" i="1" s="1"/>
  <c r="M62" i="1"/>
  <c r="E44" i="1" l="1"/>
  <c r="B75" i="1"/>
  <c r="F75" i="1" s="1"/>
  <c r="F74" i="1"/>
  <c r="F76" i="1" l="1"/>
  <c r="F77" i="1" s="1"/>
  <c r="M45" i="1"/>
  <c r="M46" i="1" s="1"/>
  <c r="G44" i="1"/>
  <c r="G48" i="1" s="1"/>
  <c r="H49" i="1" s="1"/>
  <c r="F78" i="1" l="1"/>
  <c r="F79" i="1" s="1"/>
  <c r="H50" i="1"/>
  <c r="H51" i="1" s="1"/>
  <c r="H52" i="1" l="1"/>
  <c r="H53" i="1"/>
  <c r="H95" i="1" l="1"/>
  <c r="E121" i="1" l="1"/>
  <c r="E127" i="1" s="1"/>
  <c r="E128" i="1" s="1"/>
  <c r="F128" i="1" s="1"/>
  <c r="H97" i="1"/>
  <c r="H98" i="1" s="1"/>
  <c r="E108" i="1"/>
  <c r="E110" i="1" s="1"/>
  <c r="E95" i="1"/>
  <c r="E97" i="1" s="1"/>
  <c r="E98" i="1" s="1"/>
  <c r="E100" i="1" s="1"/>
  <c r="F100" i="1" s="1"/>
  <c r="G100" i="1" s="1"/>
  <c r="H100" i="1" s="1"/>
  <c r="E114" i="1" l="1"/>
  <c r="E112" i="1"/>
  <c r="E101" i="1"/>
  <c r="F101" i="1" s="1"/>
  <c r="G101" i="1" s="1"/>
  <c r="H101" i="1" s="1"/>
  <c r="E102" i="1"/>
  <c r="F102" i="1" s="1"/>
  <c r="G102" i="1" s="1"/>
  <c r="H102" i="1" s="1"/>
  <c r="H105" i="1" s="1"/>
  <c r="E103" i="1"/>
  <c r="F103" i="1" s="1"/>
  <c r="G103" i="1" s="1"/>
  <c r="H103" i="1" s="1"/>
  <c r="K126" i="1"/>
  <c r="K125" i="1"/>
  <c r="H122" i="1"/>
  <c r="K102" i="1" l="1"/>
  <c r="K103" i="1" s="1"/>
  <c r="H123" i="1"/>
  <c r="H124" i="1" s="1"/>
  <c r="H125" i="1" s="1"/>
  <c r="E117" i="1"/>
  <c r="E118" i="1" s="1"/>
  <c r="F118" i="1" s="1"/>
  <c r="F114" i="1"/>
  <c r="H108" i="1" s="1"/>
  <c r="H109" i="1" l="1"/>
  <c r="H110" i="1" s="1"/>
  <c r="H111" i="1" s="1"/>
  <c r="H112" i="1" s="1"/>
  <c r="H113" i="1" s="1"/>
  <c r="H114" i="1" s="1"/>
  <c r="H115" i="1" s="1"/>
  <c r="K115" i="1"/>
  <c r="K116" i="1" s="1"/>
  <c r="H127" i="1"/>
  <c r="H117" i="1" l="1"/>
  <c r="H93" i="1" s="1"/>
  <c r="H54" i="1" s="1"/>
  <c r="H56" i="1" s="1"/>
  <c r="H62" i="1" s="1"/>
  <c r="B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I2" authorId="0" shapeId="0" xr:uid="{F5E4F45A-9917-4907-BFA7-2D5607CE0CE2}">
      <text>
        <r>
          <rPr>
            <b/>
            <sz val="8"/>
            <color indexed="81"/>
            <rFont val="Tahoma"/>
            <family val="2"/>
          </rPr>
          <t>RATHORE:</t>
        </r>
        <r>
          <rPr>
            <sz val="8"/>
            <color indexed="81"/>
            <rFont val="Tahoma"/>
            <family val="2"/>
          </rPr>
          <t xml:space="preserve">
</t>
        </r>
      </text>
    </comment>
    <comment ref="C58" authorId="0" shapeId="0" xr:uid="{8689C532-CCDC-41D5-A212-2B01FB91E597}">
      <text>
        <r>
          <rPr>
            <b/>
            <sz val="8"/>
            <color indexed="81"/>
            <rFont val="Tahoma"/>
            <family val="2"/>
          </rPr>
          <t>RATHORE:</t>
        </r>
        <r>
          <rPr>
            <sz val="8"/>
            <color indexed="81"/>
            <rFont val="Tahoma"/>
            <family val="2"/>
          </rPr>
          <t xml:space="preserve">
</t>
        </r>
      </text>
    </comment>
    <comment ref="C61" authorId="1" shapeId="0" xr:uid="{6541FFEE-8A7C-4396-A583-42A5938A5E9E}">
      <text>
        <r>
          <rPr>
            <b/>
            <sz val="8"/>
            <color indexed="81"/>
            <rFont val="Tahoma"/>
            <family val="2"/>
          </rPr>
          <t>rathore's:</t>
        </r>
        <r>
          <rPr>
            <sz val="8"/>
            <color indexed="81"/>
            <rFont val="Tahoma"/>
            <family val="2"/>
          </rPr>
          <t xml:space="preserve">
</t>
        </r>
      </text>
    </comment>
    <comment ref="B62" authorId="0" shapeId="0" xr:uid="{330B044D-8F81-4F59-85EE-82E5E7B8D236}">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<sst xmlns="http://schemas.openxmlformats.org/spreadsheetml/2006/main" count="299" uniqueCount="277">
  <si>
    <t>Dr. V.K. Singhania's Book</t>
  </si>
  <si>
    <t xml:space="preserve">A S S E S S M E N T   Y E A R  :  2 0 2 1 - 2 2  </t>
  </si>
  <si>
    <t>Case-12 (Salary, Pension, Let Out, Sale of Listed Deb, Plot &amp; 54F, Lottery)</t>
  </si>
  <si>
    <t>Filing Date</t>
  </si>
  <si>
    <t>65 thEdition:  August-2021</t>
  </si>
  <si>
    <t>Case Study-12</t>
  </si>
  <si>
    <t>Pages  543-544</t>
  </si>
  <si>
    <t>Raj Krishna Mukherji</t>
  </si>
  <si>
    <t xml:space="preserve">Pension (Ex-Employer) - Delhi </t>
  </si>
  <si>
    <r>
      <t xml:space="preserve">SALARIES </t>
    </r>
    <r>
      <rPr>
        <sz val="10"/>
        <color theme="1"/>
        <rFont val="Arial"/>
        <family val="2"/>
      </rPr>
      <t>U/S 15-17</t>
    </r>
  </si>
  <si>
    <t>Amount (Rs.)</t>
  </si>
  <si>
    <t xml:space="preserve">Working in Pune </t>
  </si>
  <si>
    <t xml:space="preserve">Due date </t>
  </si>
  <si>
    <t>Sec 17(1)</t>
  </si>
  <si>
    <t xml:space="preserve">Pension from Ex-Employer (Delhi) </t>
  </si>
  <si>
    <t xml:space="preserve">Basic Salary </t>
  </si>
  <si>
    <t xml:space="preserve">Basic Salary and Allowances  </t>
  </si>
  <si>
    <t xml:space="preserve">Commission </t>
  </si>
  <si>
    <t>System Date</t>
  </si>
  <si>
    <t>Sec 17(2)</t>
  </si>
  <si>
    <t xml:space="preserve">Value of Perquisites </t>
  </si>
  <si>
    <t>Sec 17(3)</t>
  </si>
  <si>
    <t xml:space="preserve">Profit in lieu of Salary </t>
  </si>
  <si>
    <r>
      <t xml:space="preserve">Perquisites-Rent Free House </t>
    </r>
    <r>
      <rPr>
        <i/>
        <sz val="9"/>
        <color rgb="FF0000FF"/>
        <rFont val="Arial"/>
        <family val="2"/>
      </rPr>
      <t xml:space="preserve">(14L) </t>
    </r>
  </si>
  <si>
    <t xml:space="preserve">(15 % of 48L) </t>
  </si>
  <si>
    <t>Late Fees</t>
  </si>
  <si>
    <t xml:space="preserve">Gross Salary </t>
  </si>
  <si>
    <t xml:space="preserve">Perquisites-Medical  Facility </t>
  </si>
  <si>
    <t>Jan-Mar 22</t>
  </si>
  <si>
    <t>Sec 10</t>
  </si>
  <si>
    <t xml:space="preserve">Less Exempt Allowances </t>
  </si>
  <si>
    <t>Perquisites-Transport Facility  Rs. 40000</t>
  </si>
  <si>
    <t xml:space="preserve">Net Salary </t>
  </si>
  <si>
    <t xml:space="preserve">(It is not  a perquisite) </t>
  </si>
  <si>
    <t>Sec 16(ia)</t>
  </si>
  <si>
    <t>Less Standard  Deduction</t>
  </si>
  <si>
    <r>
      <t xml:space="preserve">HOUSE PROPERTY </t>
    </r>
    <r>
      <rPr>
        <sz val="10"/>
        <color theme="1"/>
        <rFont val="Arial"/>
        <family val="2"/>
      </rPr>
      <t>U/S 22-27</t>
    </r>
  </si>
  <si>
    <t xml:space="preserve">RENT  Received (Bhopal) </t>
  </si>
  <si>
    <t>MV-400000; FR-600000; Std Rent-500000</t>
  </si>
  <si>
    <t xml:space="preserve">Less Local Taxes paid </t>
  </si>
  <si>
    <t>Tenant- Not Allowed</t>
  </si>
  <si>
    <t xml:space="preserve">Rent Received (incl 80000 received in Next FY) </t>
  </si>
  <si>
    <t>No Unrealized Rent</t>
  </si>
  <si>
    <t>Municipal Taxes paid by Tenant</t>
  </si>
  <si>
    <t>Sec 24</t>
  </si>
  <si>
    <t xml:space="preserve">LESS: DEDUCTIONS  </t>
  </si>
  <si>
    <t>Std Ded 30%</t>
  </si>
  <si>
    <t xml:space="preserve">Intt on Loan for purchase  of Property (unpaid) </t>
  </si>
  <si>
    <r>
      <t xml:space="preserve">CAPITAL GAINS </t>
    </r>
    <r>
      <rPr>
        <sz val="10"/>
        <color theme="1"/>
        <rFont val="Arial"/>
        <family val="2"/>
      </rPr>
      <t>U/S 45 - 55</t>
    </r>
  </si>
  <si>
    <r>
      <rPr>
        <sz val="10"/>
        <color rgb="FFC00000"/>
        <rFont val="Arial"/>
        <family val="2"/>
      </rPr>
      <t xml:space="preserve">Listed </t>
    </r>
    <r>
      <rPr>
        <sz val="10"/>
        <color theme="1"/>
        <rFont val="Arial"/>
        <family val="2"/>
      </rPr>
      <t>Debentures sold  15-07-20</t>
    </r>
  </si>
  <si>
    <t>SHORT TERM CAPITAL GAIN</t>
  </si>
  <si>
    <t xml:space="preserve">Acq Cost (11-10-03) </t>
  </si>
  <si>
    <t>LONG TERM CAPITAL GAIN</t>
  </si>
  <si>
    <t>Investment in NHAI Bonds on 11-06-20</t>
  </si>
  <si>
    <t xml:space="preserve">NA for Deb/Plot </t>
  </si>
  <si>
    <t>Listed Deb</t>
  </si>
  <si>
    <t>Sale Proceeds (15-07-20)</t>
  </si>
  <si>
    <t xml:space="preserve">Indexation not allowed in Debentures </t>
  </si>
  <si>
    <t>Less Acq Cost (11-10-04)</t>
  </si>
  <si>
    <t xml:space="preserve">No Indexation </t>
  </si>
  <si>
    <t>Sale of Commercial Plot on 12-06-20</t>
  </si>
  <si>
    <t>Not Allowed</t>
  </si>
  <si>
    <t>Stamp Duty Value</t>
  </si>
  <si>
    <t>Comm Plot</t>
  </si>
  <si>
    <t>Sale proceeds  (12-06-20)</t>
  </si>
  <si>
    <t>Brokerage paid by Assessee</t>
  </si>
  <si>
    <t xml:space="preserve">Less Brokerage </t>
  </si>
  <si>
    <t>Acq Cost  (FY 2004-05)</t>
  </si>
  <si>
    <t xml:space="preserve">Less Indexed Acq Cost </t>
  </si>
  <si>
    <t>80000 * 301 /113</t>
  </si>
  <si>
    <r>
      <t xml:space="preserve">Bought Resi House (S Duty 3500,000) on </t>
    </r>
    <r>
      <rPr>
        <b/>
        <i/>
        <sz val="9"/>
        <color theme="1"/>
        <rFont val="Arial"/>
        <family val="2"/>
      </rPr>
      <t>20-07-21</t>
    </r>
  </si>
  <si>
    <t xml:space="preserve"> LTCG </t>
  </si>
  <si>
    <t>(New Resi House / Net Sale Proceeds for Tax  Purposes* LT Capital Gain)</t>
  </si>
  <si>
    <t>Sec 54F</t>
  </si>
  <si>
    <t>Purchase of Resi House   Rs. 3300,000 / 89,00,000 * 8686903</t>
  </si>
  <si>
    <t>Purchaser's Details</t>
  </si>
  <si>
    <t>Venketessh Ltd (PAN-BAACV2312T), 2/25, Ram Bagh, Madurai-625012</t>
  </si>
  <si>
    <r>
      <t xml:space="preserve">OTHER SOURCES </t>
    </r>
    <r>
      <rPr>
        <sz val="10"/>
        <color theme="1"/>
        <rFont val="Arial"/>
        <family val="2"/>
      </rPr>
      <t>U/S 56-59</t>
    </r>
  </si>
  <si>
    <t>Gift  (Inadequate Consideration)</t>
  </si>
  <si>
    <t>Nil</t>
  </si>
  <si>
    <t xml:space="preserve">Not Above 110% </t>
  </si>
  <si>
    <t xml:space="preserve">Saving Bank Interest </t>
  </si>
  <si>
    <t xml:space="preserve">Accrued Intt on NSCs </t>
  </si>
  <si>
    <t>190000 * .1023</t>
  </si>
  <si>
    <t xml:space="preserve">Fourth  year </t>
  </si>
  <si>
    <t xml:space="preserve">Winning from Lottery (No TDS) </t>
  </si>
  <si>
    <t xml:space="preserve">Winning from Lottery  (No TDS) </t>
  </si>
  <si>
    <t>GROSS TOTAL INCOME</t>
  </si>
  <si>
    <t xml:space="preserve">LESS: DEDUCTIONS UNDER CHAPTER VI-A </t>
  </si>
  <si>
    <t>Recognised Prov Fund</t>
  </si>
  <si>
    <t xml:space="preserve">Sec 80C </t>
  </si>
  <si>
    <t>Public Prov Fund</t>
  </si>
  <si>
    <t>Max 150000</t>
  </si>
  <si>
    <t>NSCs Purchased (06-04-2020)</t>
  </si>
  <si>
    <t>NSCs Purchased (07-06-2016)</t>
  </si>
  <si>
    <t>NSCs Purchased</t>
  </si>
  <si>
    <t>Sec 80TTA</t>
  </si>
  <si>
    <t xml:space="preserve">(Max 10000  allowed) </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</si>
  <si>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</si>
  <si>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</si>
  <si>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</si>
  <si>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</si>
  <si>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</si>
  <si>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</si>
  <si>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</si>
  <si>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</si>
  <si>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</si>
  <si>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</si>
  <si>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Deb</t>
  </si>
  <si>
    <t xml:space="preserve">LTCG </t>
  </si>
  <si>
    <t>SPECIAL INCOME</t>
  </si>
  <si>
    <t xml:space="preserve">      Above   1000,000</t>
  </si>
  <si>
    <t>Plot</t>
  </si>
  <si>
    <t xml:space="preserve">Lottery </t>
  </si>
  <si>
    <t>Details of Assets &amp; Liabilities</t>
  </si>
  <si>
    <t xml:space="preserve">Acq Cost </t>
  </si>
  <si>
    <t>Sec 87A</t>
  </si>
  <si>
    <r>
      <t xml:space="preserve">LESS : REBATE  </t>
    </r>
    <r>
      <rPr>
        <sz val="8"/>
        <color theme="1"/>
        <rFont val="Arial Narrow"/>
        <family val="2"/>
      </rPr>
      <t>(Rs. 12500, if Total Income upto Rs. 5 Lakhs)</t>
    </r>
  </si>
  <si>
    <t>Resi House Property</t>
  </si>
  <si>
    <r>
      <t xml:space="preserve">ADD : SURCHARGE  </t>
    </r>
    <r>
      <rPr>
        <sz val="8"/>
        <color theme="1"/>
        <rFont val="Arial"/>
        <family val="2"/>
      </rPr>
      <t>(10 % / 15% / 25% / 37%)</t>
    </r>
  </si>
  <si>
    <t>Bank Balance</t>
  </si>
  <si>
    <t>Motor Car (2018-19)</t>
  </si>
  <si>
    <t xml:space="preserve">ADD : HEALTH &amp; EDUCATION CESS (4 % on Income Tax + Surcharge) </t>
  </si>
  <si>
    <t>Cash in Hand</t>
  </si>
  <si>
    <r>
      <t>TOTAL TAX PAYABLE</t>
    </r>
    <r>
      <rPr>
        <sz val="10"/>
        <color theme="1"/>
        <rFont val="Arial"/>
        <family val="2"/>
      </rPr>
      <t xml:space="preserve"> (including Surcharge &amp; Cesses) </t>
    </r>
  </si>
  <si>
    <t xml:space="preserve">Total of Assets </t>
  </si>
  <si>
    <t xml:space="preserve">ADD : INTEREST U/S 234A, 234B &amp; 234C </t>
  </si>
  <si>
    <t>Interest till the Month of making Video i.e Nov-2021</t>
  </si>
  <si>
    <t xml:space="preserve">ADD : Late Fees U/S 234F </t>
  </si>
  <si>
    <t>Rs. 5000 (Jan-Mar 2022)</t>
  </si>
  <si>
    <t>TDS to be deducted  by the Ex-Employer</t>
  </si>
  <si>
    <t>TOTAL TAX AND INTEREST PAYABLE</t>
  </si>
  <si>
    <t xml:space="preserve">Salary after Std Deduction </t>
  </si>
  <si>
    <t xml:space="preserve">TAX PAID U/S 199 : </t>
  </si>
  <si>
    <t>Less Deds 80C</t>
  </si>
  <si>
    <t xml:space="preserve">ADVANCE TAX PAID U/S 210 </t>
  </si>
  <si>
    <t>T. D. S.  U/S 192 by Employer</t>
  </si>
  <si>
    <t xml:space="preserve">Income Tax </t>
  </si>
  <si>
    <t>T. D. S.  U/S 192 by Ex-Employer</t>
  </si>
  <si>
    <t xml:space="preserve">Surcharge </t>
  </si>
  <si>
    <t>SELF-ASSESSMENT TAX PAID U/S 140A</t>
  </si>
  <si>
    <t xml:space="preserve">HEC </t>
  </si>
  <si>
    <t>Rounding Off u/s 288B</t>
  </si>
  <si>
    <t xml:space="preserve">Tax Cals by Dr SB Rathore, Former Associate Professor of Commerce;  42 yrs Teaching Experience (Oct-77 to Dec-19) in Shyam Lal College (University of Delhi) </t>
  </si>
  <si>
    <t>TDS</t>
  </si>
  <si>
    <t>Website: www.taxclasses.in</t>
  </si>
  <si>
    <t xml:space="preserve">FaceBook: DrSB Rathore </t>
  </si>
  <si>
    <t xml:space="preserve">YouTube: Dr Rathore's tax Video Lectures (No Advertisements) </t>
  </si>
  <si>
    <t>New Tax Rates Regime</t>
  </si>
  <si>
    <t>Salaries</t>
  </si>
  <si>
    <t>House Property</t>
  </si>
  <si>
    <t>Capital Gain</t>
  </si>
  <si>
    <t>Other Sources</t>
  </si>
  <si>
    <t>Total income</t>
  </si>
  <si>
    <t xml:space="preserve">Normal </t>
  </si>
  <si>
    <t xml:space="preserve">Total </t>
  </si>
  <si>
    <t xml:space="preserve">Income </t>
  </si>
  <si>
    <t>Tax</t>
  </si>
  <si>
    <t xml:space="preserve">Surcharge 15% </t>
  </si>
  <si>
    <t>HEC @ 4%</t>
  </si>
  <si>
    <t>Total Liability</t>
  </si>
  <si>
    <t xml:space="preserve">   Upto             2,50,000</t>
  </si>
  <si>
    <t xml:space="preserve">Nil </t>
  </si>
  <si>
    <t>2,50,001   to    5,00,000</t>
  </si>
  <si>
    <t>5,00,001   to    7,50,000</t>
  </si>
  <si>
    <t>7,50,001   to  10,00,000</t>
  </si>
  <si>
    <t>10,00,001 to  12,50,000</t>
  </si>
  <si>
    <t>12,50,001  to  15,00,000</t>
  </si>
  <si>
    <t xml:space="preserve">   Above         15,00,000</t>
  </si>
  <si>
    <t>Part -B</t>
  </si>
  <si>
    <t>80C - 80GGC</t>
  </si>
  <si>
    <t xml:space="preserve">No Change </t>
  </si>
  <si>
    <t>Part -C</t>
  </si>
  <si>
    <t>80H - 80RRB</t>
  </si>
  <si>
    <t>Rebate u/s 87A (if TI upto  5 Lakhs)</t>
  </si>
  <si>
    <t>Part- CA</t>
  </si>
  <si>
    <t>80TTA, 80TTB</t>
  </si>
  <si>
    <t>15%  Surcharge   (TI 100 Lakhs - 200 Lakhs)</t>
  </si>
  <si>
    <t>Part-D</t>
  </si>
  <si>
    <t>80U</t>
  </si>
  <si>
    <t>Health &amp; Education Cess @ 4%</t>
  </si>
  <si>
    <t xml:space="preserve">Calculation  of Interest under Sections 234A, 234B &amp; 234C </t>
  </si>
  <si>
    <t>Total Interest</t>
  </si>
  <si>
    <t xml:space="preserve">Tax Rate </t>
  </si>
  <si>
    <t>Section 234C: In case of Non-Sr Citizen: If  Amount Exceeds Rs. 10000</t>
  </si>
  <si>
    <t>Surcharge</t>
  </si>
  <si>
    <t>Total Tax, Surcharge &amp; Cess</t>
  </si>
  <si>
    <t>Tax + SC + HEC</t>
  </si>
  <si>
    <t>Less TDS by the Employer, Bank</t>
  </si>
  <si>
    <t xml:space="preserve">Liability for Advance tax </t>
  </si>
  <si>
    <t>Deposit Date</t>
  </si>
  <si>
    <t xml:space="preserve">Tax Amount </t>
  </si>
  <si>
    <t>Last Date</t>
  </si>
  <si>
    <t xml:space="preserve">Amount </t>
  </si>
  <si>
    <t>Round Down by 100</t>
  </si>
  <si>
    <t xml:space="preserve">Shortfall </t>
  </si>
  <si>
    <t>Interest</t>
  </si>
  <si>
    <t xml:space="preserve">Month </t>
  </si>
  <si>
    <t>Interest u/s 234C</t>
  </si>
  <si>
    <t xml:space="preserve">Nov </t>
  </si>
  <si>
    <t xml:space="preserve">Dec </t>
  </si>
  <si>
    <t>Section 234B:  If  Amount Exceeds Rs. 10000 (Less than 90 %.....)</t>
  </si>
  <si>
    <t xml:space="preserve"> Tax Liability after TDS</t>
  </si>
  <si>
    <t>Advance Tax   till 31-03-2021</t>
  </si>
  <si>
    <t>Interest u/s 234B</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</si>
  <si>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</si>
  <si>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</si>
  <si>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</si>
  <si>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</si>
  <si>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</si>
  <si>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</si>
  <si>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</si>
  <si>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Interest u/s 234A</t>
  </si>
  <si>
    <t>Add Interest u/s 234C till 31-03-2021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</si>
  <si>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</si>
  <si>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</si>
  <si>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</si>
  <si>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</si>
  <si>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</si>
  <si>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</si>
  <si>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</si>
  <si>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</si>
  <si>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</si>
  <si>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</si>
  <si>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</si>
  <si>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</si>
  <si>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</si>
  <si>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</si>
  <si>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</si>
  <si>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</si>
  <si>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</si>
  <si>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</si>
  <si>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</si>
  <si>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</si>
  <si>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</si>
  <si>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</si>
  <si>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</si>
  <si>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</si>
  <si>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</si>
  <si>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</si>
  <si>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</si>
  <si>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</si>
  <si>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</si>
  <si>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</si>
  <si>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</si>
  <si>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</si>
  <si>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</si>
  <si>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</si>
  <si>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</si>
  <si>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</si>
  <si>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</si>
  <si>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</si>
  <si>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</si>
  <si>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</si>
  <si>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</si>
  <si>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</si>
  <si>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</si>
  <si>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</si>
  <si>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</si>
  <si>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</si>
  <si>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</si>
  <si>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</si>
  <si>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</si>
  <si>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</si>
  <si>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</si>
  <si>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Conveyance Allowance</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</si>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</sst>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409]d\-mmm\-yy;@"/>
  </numFmts>
  <fonts count="81"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9"/>
      <color rgb="FF0000FF"/>
      <name val="Arial"/>
      <family val="2"/>
    </font>
    <font>
      <b/>
      <sz val="8"/>
      <color rgb="FFC00000"/>
      <name val="Arial"/>
      <family val="2"/>
    </font>
    <font>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10"/>
      <color theme="1"/>
      <name val="Arial"/>
      <family val="2"/>
    </font>
    <font>
      <b/>
      <u/>
      <sz val="10"/>
      <color theme="1"/>
      <name val="Arial"/>
      <family val="2"/>
    </font>
    <font>
      <b/>
      <sz val="8"/>
      <color theme="1"/>
      <name val="Arial"/>
      <family val="2"/>
    </font>
    <font>
      <u/>
      <sz val="10"/>
      <color rgb="FFC00000"/>
      <name val="Arial"/>
      <family val="2"/>
    </font>
    <font>
      <sz val="8"/>
      <color rgb="FF0000FF"/>
      <name val="Arial"/>
      <family val="2"/>
    </font>
    <font>
      <i/>
      <sz val="10"/>
      <color theme="8" tint="-0.249977111117893"/>
      <name val="Arial"/>
      <family val="2"/>
    </font>
    <font>
      <sz val="10"/>
      <color theme="8" tint="-0.249977111117893"/>
      <name val="Arial"/>
      <family val="2"/>
    </font>
    <font>
      <b/>
      <sz val="10"/>
      <color theme="1"/>
      <name val="Arial"/>
      <family val="2"/>
    </font>
    <font>
      <b/>
      <sz val="10"/>
      <color rgb="FF0000FF"/>
      <name val="Arial"/>
      <family val="2"/>
    </font>
    <font>
      <i/>
      <sz val="9"/>
      <color theme="8" tint="-0.249977111117893"/>
      <name val="Arial"/>
      <family val="2"/>
    </font>
    <font>
      <i/>
      <sz val="9"/>
      <color rgb="FF0000FF"/>
      <name val="Arial"/>
      <family val="2"/>
    </font>
    <font>
      <b/>
      <sz val="8"/>
      <name val="Arial"/>
      <family val="2"/>
    </font>
    <font>
      <i/>
      <sz val="10"/>
      <color theme="1"/>
      <name val="Arial"/>
      <family val="2"/>
    </font>
    <font>
      <sz val="9"/>
      <color rgb="FF7030A0"/>
      <name val="Arial"/>
      <family val="2"/>
    </font>
    <font>
      <i/>
      <sz val="9"/>
      <color theme="1"/>
      <name val="Arial"/>
      <family val="2"/>
    </font>
    <font>
      <i/>
      <sz val="10"/>
      <color rgb="FFC00000"/>
      <name val="Arial"/>
      <family val="2"/>
    </font>
    <font>
      <sz val="10"/>
      <color rgb="FFC00000"/>
      <name val="Arial"/>
      <family val="2"/>
    </font>
    <font>
      <b/>
      <sz val="9"/>
      <color theme="1"/>
      <name val="Arial"/>
      <family val="2"/>
    </font>
    <font>
      <sz val="10"/>
      <color rgb="FFFF0000"/>
      <name val="Arial"/>
      <family val="2"/>
    </font>
    <font>
      <sz val="8"/>
      <color rgb="FFC00000"/>
      <name val="Arial"/>
      <family val="2"/>
    </font>
    <font>
      <b/>
      <sz val="9"/>
      <color rgb="FF7030A0"/>
      <name val="Arial"/>
      <family val="2"/>
    </font>
    <font>
      <i/>
      <sz val="9"/>
      <color rgb="FFC00000"/>
      <name val="Arial"/>
      <family val="2"/>
    </font>
    <font>
      <sz val="8"/>
      <color rgb="FFFF0000"/>
      <name val="Arial"/>
      <family val="2"/>
    </font>
    <font>
      <sz val="9"/>
      <color rgb="FFFF0000"/>
      <name val="Arial"/>
      <family val="2"/>
    </font>
    <font>
      <b/>
      <i/>
      <sz val="9"/>
      <color theme="1"/>
      <name val="Arial"/>
      <family val="2"/>
    </font>
    <font>
      <b/>
      <i/>
      <sz val="10"/>
      <color rgb="FF7030A0"/>
      <name val="Arial Narrow"/>
      <family val="2"/>
    </font>
    <font>
      <b/>
      <i/>
      <sz val="8"/>
      <color rgb="FF7030A0"/>
      <name val="Arial"/>
      <family val="2"/>
    </font>
    <font>
      <i/>
      <sz val="8"/>
      <color rgb="FF0000FF"/>
      <name val="Arial"/>
      <family val="2"/>
    </font>
    <font>
      <b/>
      <sz val="9"/>
      <color rgb="FF0000FF"/>
      <name val="Arial Narrow"/>
      <family val="2"/>
    </font>
    <font>
      <sz val="8"/>
      <color theme="1"/>
      <name val="Arial Narrow"/>
      <family val="2"/>
    </font>
    <font>
      <u/>
      <sz val="10"/>
      <color theme="1"/>
      <name val="Arial"/>
      <family val="2"/>
    </font>
    <font>
      <sz val="10"/>
      <color theme="3" tint="-0.249977111117893"/>
      <name val="Arial"/>
      <family val="2"/>
    </font>
    <font>
      <i/>
      <u/>
      <sz val="10"/>
      <color theme="1"/>
      <name val="Arial"/>
      <family val="2"/>
    </font>
    <font>
      <sz val="11"/>
      <color rgb="FF515656"/>
      <name val="Arial"/>
      <family val="2"/>
    </font>
    <font>
      <i/>
      <sz val="8"/>
      <color theme="1"/>
      <name val="Arial"/>
      <family val="2"/>
    </font>
    <font>
      <b/>
      <sz val="9"/>
      <color rgb="FF0000FF"/>
      <name val="Arial"/>
      <family val="2"/>
    </font>
    <font>
      <b/>
      <sz val="10"/>
      <color rgb="FFC00000"/>
      <name val="Arial Narrow"/>
      <family val="2"/>
    </font>
    <font>
      <sz val="10"/>
      <color theme="1"/>
      <name val="Arial Narrow"/>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9"/>
      <color theme="8" tint="-0.249977111117893"/>
      <name val="Arial"/>
      <family val="2"/>
    </font>
    <font>
      <b/>
      <sz val="10"/>
      <color theme="4" tint="-0.249977111117893"/>
      <name val="Arial"/>
      <family val="2"/>
    </font>
    <font>
      <sz val="9"/>
      <name val="Arial"/>
      <family val="2"/>
    </font>
    <font>
      <b/>
      <sz val="10"/>
      <color rgb="FF00B050"/>
      <name val="Arial"/>
      <family val="2"/>
    </font>
    <font>
      <b/>
      <sz val="9"/>
      <color rgb="FF00B050"/>
      <name val="Arial"/>
      <family val="2"/>
    </font>
    <font>
      <b/>
      <sz val="10"/>
      <color indexed="12"/>
      <name val="Arial"/>
      <family val="2"/>
    </font>
    <font>
      <b/>
      <sz val="10"/>
      <name val="Arial"/>
      <family val="2"/>
    </font>
    <font>
      <b/>
      <sz val="9"/>
      <color theme="9" tint="-0.249977111117893"/>
      <name val="Arial"/>
      <family val="2"/>
    </font>
    <font>
      <sz val="10"/>
      <color indexed="12"/>
      <name val="Arial"/>
      <family val="2"/>
    </font>
    <font>
      <i/>
      <sz val="10"/>
      <name val="Arial"/>
      <family val="2"/>
    </font>
    <font>
      <i/>
      <sz val="10"/>
      <color rgb="FFFF0000"/>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indexed="42"/>
        <bgColor indexed="64"/>
      </patternFill>
    </fill>
    <fill>
      <patternFill patternType="solid">
        <fgColor indexed="41"/>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43">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5" fillId="0" borderId="6" xfId="0" applyFont="1" applyBorder="1" applyAlignment="1">
      <alignment horizontal="center"/>
    </xf>
    <xf numFmtId="0" fontId="3" fillId="0" borderId="0" xfId="0" applyFont="1"/>
    <xf numFmtId="0" fontId="6" fillId="0" borderId="7" xfId="2" applyFont="1" applyBorder="1" applyAlignment="1">
      <alignment horizontal="center" shrinkToFit="1"/>
    </xf>
    <xf numFmtId="0" fontId="6" fillId="0" borderId="8" xfId="2" applyFont="1" applyBorder="1" applyAlignment="1">
      <alignment horizontal="center" shrinkToFit="1"/>
    </xf>
    <xf numFmtId="0" fontId="7" fillId="0" borderId="8" xfId="2" applyFont="1" applyBorder="1" applyAlignment="1">
      <alignment horizontal="center"/>
    </xf>
    <xf numFmtId="0" fontId="8" fillId="0" borderId="8" xfId="2" applyFont="1" applyBorder="1" applyAlignment="1">
      <alignment horizontal="center"/>
    </xf>
    <xf numFmtId="0" fontId="9" fillId="0" borderId="8" xfId="0" applyFont="1" applyBorder="1" applyAlignment="1">
      <alignment horizontal="center"/>
    </xf>
    <xf numFmtId="15" fontId="10" fillId="0" borderId="8" xfId="2" applyNumberFormat="1" applyFont="1" applyBorder="1" applyAlignment="1">
      <alignment horizontal="center"/>
    </xf>
    <xf numFmtId="1" fontId="11" fillId="2" borderId="9" xfId="0" applyNumberFormat="1" applyFont="1" applyFill="1" applyBorder="1" applyAlignment="1">
      <alignment horizontal="center" shrinkToFit="1"/>
    </xf>
    <xf numFmtId="0" fontId="12" fillId="0" borderId="0" xfId="0" applyFont="1" applyAlignment="1">
      <alignment horizontal="center"/>
    </xf>
    <xf numFmtId="0" fontId="12" fillId="0" borderId="0" xfId="0" applyFont="1"/>
    <xf numFmtId="0" fontId="12" fillId="3" borderId="0" xfId="0" applyFont="1" applyFill="1"/>
    <xf numFmtId="15" fontId="5" fillId="3" borderId="10" xfId="0" applyNumberFormat="1" applyFont="1" applyFill="1" applyBorder="1" applyAlignment="1">
      <alignment horizontal="center"/>
    </xf>
    <xf numFmtId="1" fontId="8" fillId="0" borderId="4" xfId="0" applyNumberFormat="1" applyFont="1" applyBorder="1" applyAlignment="1">
      <alignment horizontal="center" shrinkToFit="1"/>
    </xf>
    <xf numFmtId="0" fontId="13" fillId="0" borderId="0" xfId="0" applyFont="1"/>
    <xf numFmtId="0" fontId="12" fillId="0" borderId="11" xfId="0" applyFont="1" applyBorder="1"/>
    <xf numFmtId="0" fontId="14" fillId="0" borderId="0" xfId="0" applyFont="1" applyAlignment="1">
      <alignment horizontal="center"/>
    </xf>
    <xf numFmtId="0" fontId="14" fillId="0" borderId="5" xfId="0" applyFont="1" applyBorder="1" applyAlignment="1">
      <alignment horizontal="center"/>
    </xf>
    <xf numFmtId="0" fontId="15" fillId="0" borderId="0" xfId="0" applyFont="1"/>
    <xf numFmtId="0" fontId="10" fillId="0" borderId="10" xfId="0" applyFont="1" applyBorder="1" applyAlignment="1">
      <alignment horizontal="center"/>
    </xf>
    <xf numFmtId="0" fontId="16" fillId="0" borderId="0" xfId="0" applyFont="1"/>
    <xf numFmtId="0" fontId="5" fillId="0" borderId="0" xfId="0" applyFont="1" applyAlignment="1">
      <alignment horizontal="left"/>
    </xf>
    <xf numFmtId="0" fontId="9" fillId="0" borderId="0" xfId="0" applyFont="1"/>
    <xf numFmtId="1" fontId="9" fillId="4" borderId="0" xfId="0" applyNumberFormat="1" applyFont="1" applyFill="1"/>
    <xf numFmtId="0" fontId="14" fillId="0" borderId="12" xfId="0" applyFont="1" applyBorder="1" applyAlignment="1">
      <alignment horizontal="center"/>
    </xf>
    <xf numFmtId="1" fontId="17" fillId="0" borderId="0" xfId="0" applyNumberFormat="1" applyFont="1"/>
    <xf numFmtId="0" fontId="18" fillId="0" borderId="0" xfId="0" applyFont="1"/>
    <xf numFmtId="0" fontId="12" fillId="0" borderId="0" xfId="0" applyFont="1" applyAlignment="1">
      <alignment horizontal="right"/>
    </xf>
    <xf numFmtId="15" fontId="10" fillId="0" borderId="10" xfId="0" applyNumberFormat="1" applyFont="1" applyBorder="1" applyAlignment="1">
      <alignment horizontal="center"/>
    </xf>
    <xf numFmtId="0" fontId="8" fillId="0" borderId="4" xfId="0" applyFont="1" applyBorder="1" applyAlignment="1">
      <alignment horizontal="center" shrinkToFit="1"/>
    </xf>
    <xf numFmtId="0" fontId="8" fillId="0" borderId="0" xfId="0" applyFont="1"/>
    <xf numFmtId="0" fontId="7" fillId="0" borderId="0" xfId="0" applyFont="1" applyAlignment="1">
      <alignment horizontal="left"/>
    </xf>
    <xf numFmtId="1" fontId="12" fillId="4" borderId="0" xfId="0" applyNumberFormat="1" applyFont="1" applyFill="1"/>
    <xf numFmtId="1" fontId="19" fillId="0" borderId="12" xfId="0" applyNumberFormat="1" applyFont="1" applyBorder="1"/>
    <xf numFmtId="1" fontId="19" fillId="0" borderId="5" xfId="0" applyNumberFormat="1" applyFont="1" applyBorder="1"/>
    <xf numFmtId="0" fontId="17" fillId="0" borderId="0" xfId="0" applyFont="1"/>
    <xf numFmtId="0" fontId="8" fillId="0" borderId="10" xfId="0" applyFont="1" applyBorder="1"/>
    <xf numFmtId="0" fontId="20" fillId="0" borderId="13" xfId="0" applyFont="1" applyBorder="1" applyAlignment="1">
      <alignment horizontal="right" vertical="center"/>
    </xf>
    <xf numFmtId="15" fontId="7" fillId="0" borderId="14" xfId="0" applyNumberFormat="1" applyFont="1" applyBorder="1" applyAlignment="1">
      <alignment horizontal="center"/>
    </xf>
    <xf numFmtId="1" fontId="12" fillId="4" borderId="15" xfId="0" applyNumberFormat="1" applyFont="1" applyFill="1" applyBorder="1"/>
    <xf numFmtId="1" fontId="12" fillId="0" borderId="16" xfId="0" applyNumberFormat="1" applyFont="1" applyBorder="1"/>
    <xf numFmtId="0" fontId="21" fillId="0" borderId="0" xfId="0" applyFont="1"/>
    <xf numFmtId="0" fontId="10" fillId="0" borderId="0" xfId="0" applyFont="1"/>
    <xf numFmtId="0" fontId="23" fillId="3" borderId="6" xfId="0" applyFont="1" applyFill="1" applyBorder="1" applyAlignment="1">
      <alignment horizontal="center"/>
    </xf>
    <xf numFmtId="0" fontId="24" fillId="0" borderId="0" xfId="0" applyFont="1" applyAlignment="1">
      <alignment horizontal="right"/>
    </xf>
    <xf numFmtId="1" fontId="12" fillId="0" borderId="0" xfId="0" applyNumberFormat="1" applyFont="1"/>
    <xf numFmtId="17" fontId="25" fillId="0" borderId="10" xfId="0" applyNumberFormat="1" applyFont="1" applyBorder="1" applyAlignment="1">
      <alignment horizontal="center"/>
    </xf>
    <xf numFmtId="0" fontId="26" fillId="0" borderId="0" xfId="0" applyFont="1"/>
    <xf numFmtId="1" fontId="12" fillId="4" borderId="16" xfId="0" applyNumberFormat="1" applyFont="1" applyFill="1" applyBorder="1"/>
    <xf numFmtId="1" fontId="19" fillId="0" borderId="0" xfId="0" applyNumberFormat="1" applyFont="1"/>
    <xf numFmtId="0" fontId="27" fillId="0" borderId="0" xfId="0" applyFont="1"/>
    <xf numFmtId="0" fontId="28" fillId="0" borderId="0" xfId="0" applyFont="1"/>
    <xf numFmtId="0" fontId="25" fillId="0" borderId="14" xfId="0" applyFont="1" applyBorder="1" applyAlignment="1">
      <alignment horizontal="center"/>
    </xf>
    <xf numFmtId="1" fontId="12" fillId="0" borderId="11" xfId="0" applyNumberFormat="1" applyFont="1" applyBorder="1"/>
    <xf numFmtId="0" fontId="9" fillId="0" borderId="0" xfId="0" applyFont="1" applyAlignment="1">
      <alignment vertical="top"/>
    </xf>
    <xf numFmtId="0" fontId="7" fillId="0" borderId="0" xfId="0" applyFont="1"/>
    <xf numFmtId="0" fontId="29" fillId="0" borderId="0" xfId="0" applyFont="1"/>
    <xf numFmtId="0" fontId="10" fillId="0" borderId="0" xfId="0" applyFont="1" applyAlignment="1">
      <alignment horizontal="right"/>
    </xf>
    <xf numFmtId="0" fontId="5" fillId="0" borderId="0" xfId="0" applyFont="1" applyAlignment="1">
      <alignment horizontal="center"/>
    </xf>
    <xf numFmtId="0" fontId="12" fillId="5" borderId="0" xfId="0" applyFont="1" applyFill="1"/>
    <xf numFmtId="0" fontId="29" fillId="0" borderId="5" xfId="0" applyFont="1" applyBorder="1" applyAlignment="1">
      <alignment horizontal="center"/>
    </xf>
    <xf numFmtId="0" fontId="12" fillId="0" borderId="0" xfId="0" applyFont="1" applyAlignment="1">
      <alignment horizontal="left"/>
    </xf>
    <xf numFmtId="0" fontId="12" fillId="5" borderId="16" xfId="0" applyFont="1" applyFill="1" applyBorder="1"/>
    <xf numFmtId="0" fontId="30" fillId="0" borderId="0" xfId="0" applyFont="1"/>
    <xf numFmtId="0" fontId="12" fillId="0" borderId="15" xfId="0" applyFont="1" applyBorder="1" applyAlignment="1">
      <alignment horizontal="right"/>
    </xf>
    <xf numFmtId="0" fontId="12" fillId="0" borderId="15" xfId="0" applyFont="1" applyBorder="1"/>
    <xf numFmtId="9" fontId="31" fillId="0" borderId="0" xfId="0" applyNumberFormat="1" applyFont="1"/>
    <xf numFmtId="0" fontId="19" fillId="0" borderId="16" xfId="0" applyFont="1" applyBorder="1"/>
    <xf numFmtId="0" fontId="12" fillId="6" borderId="0" xfId="0" applyFont="1" applyFill="1"/>
    <xf numFmtId="0" fontId="32" fillId="0" borderId="0" xfId="0" applyFont="1"/>
    <xf numFmtId="9" fontId="5" fillId="0" borderId="4" xfId="0" applyNumberFormat="1" applyFont="1" applyBorder="1" applyAlignment="1">
      <alignment horizontal="center"/>
    </xf>
    <xf numFmtId="0" fontId="28" fillId="6" borderId="0" xfId="0" applyFont="1" applyFill="1"/>
    <xf numFmtId="0" fontId="12" fillId="6" borderId="0" xfId="0" applyFont="1" applyFill="1" applyAlignment="1">
      <alignment horizontal="center"/>
    </xf>
    <xf numFmtId="0" fontId="33" fillId="0" borderId="4" xfId="0" applyFont="1" applyBorder="1" applyAlignment="1">
      <alignment horizontal="center"/>
    </xf>
    <xf numFmtId="0" fontId="24" fillId="6" borderId="0" xfId="0" applyFont="1" applyFill="1" applyAlignment="1">
      <alignment horizontal="left" indent="1"/>
    </xf>
    <xf numFmtId="0" fontId="34" fillId="6" borderId="0" xfId="0" applyFont="1" applyFill="1" applyAlignment="1">
      <alignment horizontal="center"/>
    </xf>
    <xf numFmtId="0" fontId="12" fillId="6" borderId="15" xfId="0" applyFont="1" applyFill="1" applyBorder="1"/>
    <xf numFmtId="0" fontId="19" fillId="6" borderId="17" xfId="0" applyFont="1" applyFill="1" applyBorder="1"/>
    <xf numFmtId="0" fontId="35" fillId="0" borderId="0" xfId="0" applyFont="1" applyAlignment="1">
      <alignment horizontal="center"/>
    </xf>
    <xf numFmtId="0" fontId="26" fillId="6" borderId="0" xfId="0" applyFont="1" applyFill="1"/>
    <xf numFmtId="0" fontId="10" fillId="6" borderId="0" xfId="0" applyFont="1" applyFill="1" applyAlignment="1">
      <alignment horizontal="center"/>
    </xf>
    <xf numFmtId="9" fontId="30" fillId="0" borderId="0" xfId="0" applyNumberFormat="1" applyFont="1" applyAlignment="1">
      <alignment horizontal="center"/>
    </xf>
    <xf numFmtId="9" fontId="16" fillId="0" borderId="4" xfId="0" applyNumberFormat="1" applyFont="1" applyBorder="1" applyAlignment="1">
      <alignment horizontal="center" shrinkToFit="1"/>
    </xf>
    <xf numFmtId="49" fontId="12" fillId="0" borderId="0" xfId="0" applyNumberFormat="1" applyFont="1"/>
    <xf numFmtId="0" fontId="24" fillId="0" borderId="0" xfId="0" applyFont="1" applyAlignment="1">
      <alignment horizontal="left" indent="1"/>
    </xf>
    <xf numFmtId="14" fontId="30" fillId="0" borderId="0" xfId="0" applyNumberFormat="1" applyFont="1"/>
    <xf numFmtId="0" fontId="7" fillId="0" borderId="0" xfId="0" applyFont="1" applyAlignment="1">
      <alignment horizontal="center"/>
    </xf>
    <xf numFmtId="0" fontId="12" fillId="0" borderId="16" xfId="0" applyFont="1" applyBorder="1"/>
    <xf numFmtId="0" fontId="7" fillId="0" borderId="0" xfId="0" applyFont="1" applyAlignment="1">
      <alignment horizontal="right"/>
    </xf>
    <xf numFmtId="0" fontId="37" fillId="0" borderId="0" xfId="0" applyFont="1"/>
    <xf numFmtId="0" fontId="25" fillId="0" borderId="0" xfId="0" applyFont="1" applyAlignment="1">
      <alignment horizontal="center"/>
    </xf>
    <xf numFmtId="0" fontId="38" fillId="0" borderId="0" xfId="0" applyFont="1"/>
    <xf numFmtId="0" fontId="10" fillId="0" borderId="0" xfId="0" applyFont="1" applyAlignment="1">
      <alignment horizontal="center"/>
    </xf>
    <xf numFmtId="0" fontId="27" fillId="0" borderId="16" xfId="0" applyFont="1" applyBorder="1" applyAlignment="1">
      <alignment horizontal="right"/>
    </xf>
    <xf numFmtId="0" fontId="5" fillId="7" borderId="0" xfId="0" applyFont="1" applyFill="1"/>
    <xf numFmtId="0" fontId="12" fillId="7" borderId="0" xfId="0" applyFont="1" applyFill="1"/>
    <xf numFmtId="0" fontId="32" fillId="7" borderId="0" xfId="0" applyFont="1" applyFill="1" applyAlignment="1">
      <alignment horizontal="left"/>
    </xf>
    <xf numFmtId="0" fontId="8" fillId="0" borderId="4" xfId="0" applyFont="1" applyBorder="1" applyAlignment="1">
      <alignment horizontal="center" shrinkToFit="1"/>
    </xf>
    <xf numFmtId="0" fontId="8" fillId="0" borderId="0" xfId="0" applyFont="1" applyAlignment="1">
      <alignment horizontal="center" shrinkToFit="1"/>
    </xf>
    <xf numFmtId="0" fontId="39" fillId="0" borderId="0" xfId="0" applyFont="1" applyAlignment="1">
      <alignment horizontal="center"/>
    </xf>
    <xf numFmtId="0" fontId="19" fillId="0" borderId="17" xfId="0" applyFont="1" applyBorder="1"/>
    <xf numFmtId="0" fontId="22" fillId="0" borderId="0" xfId="0" applyFont="1"/>
    <xf numFmtId="0" fontId="40" fillId="0" borderId="0" xfId="0" applyFont="1"/>
    <xf numFmtId="0" fontId="41" fillId="0" borderId="0" xfId="0" applyFont="1" applyAlignment="1">
      <alignment horizontal="center"/>
    </xf>
    <xf numFmtId="0" fontId="1" fillId="0" borderId="0" xfId="0" applyFont="1" applyAlignment="1">
      <alignment horizontal="left"/>
    </xf>
    <xf numFmtId="15" fontId="10" fillId="0" borderId="0" xfId="2" applyNumberFormat="1" applyFont="1" applyAlignment="1">
      <alignment horizontal="center"/>
    </xf>
    <xf numFmtId="0" fontId="1" fillId="0" borderId="0" xfId="0" applyFont="1"/>
    <xf numFmtId="1" fontId="12" fillId="5" borderId="16" xfId="0" applyNumberFormat="1" applyFont="1" applyFill="1" applyBorder="1"/>
    <xf numFmtId="1" fontId="19" fillId="0" borderId="18" xfId="0" applyNumberFormat="1" applyFont="1" applyBorder="1"/>
    <xf numFmtId="1" fontId="20" fillId="0" borderId="19" xfId="0" applyNumberFormat="1" applyFont="1" applyBorder="1"/>
    <xf numFmtId="1" fontId="20" fillId="0" borderId="5" xfId="0" applyNumberFormat="1" applyFont="1" applyBorder="1"/>
    <xf numFmtId="0" fontId="42" fillId="0" borderId="0" xfId="0" applyFont="1"/>
    <xf numFmtId="0" fontId="43" fillId="0" borderId="0" xfId="0" applyFont="1"/>
    <xf numFmtId="0" fontId="44" fillId="0" borderId="0" xfId="0" applyFont="1"/>
    <xf numFmtId="0" fontId="5" fillId="0" borderId="0" xfId="0" applyFont="1"/>
    <xf numFmtId="10" fontId="9" fillId="0" borderId="0" xfId="0" applyNumberFormat="1" applyFont="1" applyAlignment="1">
      <alignment horizontal="center"/>
    </xf>
    <xf numFmtId="0" fontId="16" fillId="0" borderId="0" xfId="0" applyFont="1" applyAlignment="1">
      <alignment horizontal="center" vertical="top"/>
    </xf>
    <xf numFmtId="0" fontId="12" fillId="5" borderId="15" xfId="0" applyFont="1" applyFill="1" applyBorder="1"/>
    <xf numFmtId="0" fontId="45" fillId="0" borderId="0" xfId="0" applyFont="1"/>
    <xf numFmtId="0" fontId="19" fillId="0" borderId="0" xfId="0" applyFont="1" applyAlignment="1">
      <alignment vertical="center"/>
    </xf>
    <xf numFmtId="1" fontId="41" fillId="0" borderId="0" xfId="0" applyNumberFormat="1" applyFont="1" applyAlignment="1">
      <alignment horizontal="left"/>
    </xf>
    <xf numFmtId="0" fontId="41" fillId="0" borderId="0" xfId="0" applyFont="1" applyAlignment="1">
      <alignment horizontal="left"/>
    </xf>
    <xf numFmtId="0" fontId="8" fillId="0" borderId="0" xfId="0" applyFont="1" applyAlignment="1">
      <alignment horizontal="right"/>
    </xf>
    <xf numFmtId="1" fontId="19" fillId="3" borderId="20" xfId="0" applyNumberFormat="1" applyFont="1" applyFill="1" applyBorder="1"/>
    <xf numFmtId="1" fontId="19" fillId="3" borderId="21" xfId="0" applyNumberFormat="1" applyFont="1" applyFill="1" applyBorder="1"/>
    <xf numFmtId="0" fontId="19" fillId="0" borderId="0" xfId="0" applyFont="1"/>
    <xf numFmtId="0" fontId="29" fillId="0" borderId="0" xfId="0" applyFont="1" applyAlignment="1">
      <alignment horizontal="right"/>
    </xf>
    <xf numFmtId="0" fontId="29" fillId="0" borderId="0" xfId="0" applyFont="1" applyAlignment="1">
      <alignment horizontal="center"/>
    </xf>
    <xf numFmtId="0" fontId="7" fillId="0" borderId="12" xfId="0" applyFont="1" applyBorder="1"/>
    <xf numFmtId="0" fontId="7" fillId="0" borderId="5" xfId="0" applyFont="1" applyBorder="1"/>
    <xf numFmtId="0" fontId="12" fillId="0" borderId="0" xfId="0" applyFont="1" applyAlignment="1">
      <alignment horizontal="left" indent="1"/>
    </xf>
    <xf numFmtId="9" fontId="12" fillId="0" borderId="0" xfId="0" applyNumberFormat="1" applyFont="1" applyAlignment="1">
      <alignment horizontal="center"/>
    </xf>
    <xf numFmtId="0" fontId="8" fillId="0" borderId="0" xfId="0" applyFont="1" applyAlignment="1">
      <alignment shrinkToFit="1"/>
    </xf>
    <xf numFmtId="0" fontId="46" fillId="0" borderId="0" xfId="0" applyFont="1" applyAlignment="1">
      <alignment horizontal="right"/>
    </xf>
    <xf numFmtId="0" fontId="47" fillId="0" borderId="0" xfId="0" applyFont="1" applyAlignment="1">
      <alignment horizontal="center"/>
    </xf>
    <xf numFmtId="1" fontId="12" fillId="6" borderId="0" xfId="0" applyNumberFormat="1" applyFont="1" applyFill="1"/>
    <xf numFmtId="9" fontId="46" fillId="0" borderId="0" xfId="0" applyNumberFormat="1" applyFont="1" applyAlignment="1">
      <alignment horizontal="center"/>
    </xf>
    <xf numFmtId="9" fontId="7" fillId="0" borderId="0" xfId="0" applyNumberFormat="1" applyFont="1" applyAlignment="1">
      <alignment horizontal="center"/>
    </xf>
    <xf numFmtId="0" fontId="19" fillId="8" borderId="13" xfId="0" applyFont="1" applyFill="1" applyBorder="1"/>
    <xf numFmtId="0" fontId="12" fillId="0" borderId="12" xfId="0" applyFont="1" applyBorder="1"/>
    <xf numFmtId="0" fontId="12" fillId="0" borderId="5" xfId="0" applyFont="1" applyBorder="1"/>
    <xf numFmtId="1" fontId="19" fillId="0" borderId="12" xfId="0" applyNumberFormat="1" applyFont="1" applyBorder="1" applyAlignment="1">
      <alignment horizontal="right"/>
    </xf>
    <xf numFmtId="1" fontId="19" fillId="0" borderId="5" xfId="0" applyNumberFormat="1" applyFont="1" applyBorder="1" applyAlignment="1">
      <alignment horizontal="right"/>
    </xf>
    <xf numFmtId="0" fontId="12" fillId="6" borderId="0" xfId="0" applyFont="1" applyFill="1" applyAlignment="1">
      <alignment horizontal="left"/>
    </xf>
    <xf numFmtId="0" fontId="7" fillId="6" borderId="0" xfId="0" applyFont="1" applyFill="1" applyAlignment="1">
      <alignment horizontal="center"/>
    </xf>
    <xf numFmtId="0" fontId="12" fillId="0" borderId="16" xfId="0" applyFont="1" applyBorder="1" applyAlignment="1">
      <alignment horizontal="right"/>
    </xf>
    <xf numFmtId="1" fontId="12" fillId="0" borderId="12" xfId="0" applyNumberFormat="1" applyFont="1" applyBorder="1" applyAlignment="1">
      <alignment horizontal="right"/>
    </xf>
    <xf numFmtId="1" fontId="12" fillId="0" borderId="5" xfId="0" applyNumberFormat="1" applyFont="1" applyBorder="1" applyAlignment="1">
      <alignment horizontal="right"/>
    </xf>
    <xf numFmtId="1" fontId="7" fillId="6" borderId="0" xfId="0" applyNumberFormat="1" applyFont="1" applyFill="1" applyAlignment="1">
      <alignment horizontal="left" indent="1"/>
    </xf>
    <xf numFmtId="1" fontId="7" fillId="6" borderId="0" xfId="0" applyNumberFormat="1" applyFont="1" applyFill="1"/>
    <xf numFmtId="9" fontId="9" fillId="0" borderId="0" xfId="0" applyNumberFormat="1" applyFont="1" applyAlignment="1">
      <alignment horizontal="center"/>
    </xf>
    <xf numFmtId="1" fontId="12" fillId="0" borderId="22" xfId="0" applyNumberFormat="1" applyFont="1" applyBorder="1" applyAlignment="1">
      <alignment horizontal="right"/>
    </xf>
    <xf numFmtId="1" fontId="12" fillId="0" borderId="18" xfId="0" applyNumberFormat="1" applyFont="1" applyBorder="1" applyAlignment="1">
      <alignment horizontal="right"/>
    </xf>
    <xf numFmtId="0" fontId="41" fillId="0" borderId="0" xfId="0" applyFont="1"/>
    <xf numFmtId="1" fontId="7" fillId="0" borderId="0" xfId="0" applyNumberFormat="1" applyFont="1" applyAlignment="1">
      <alignment horizontal="right" indent="1"/>
    </xf>
    <xf numFmtId="1" fontId="47" fillId="0" borderId="0" xfId="0" applyNumberFormat="1" applyFont="1"/>
    <xf numFmtId="0" fontId="48" fillId="0" borderId="0" xfId="0" applyFont="1" applyAlignment="1">
      <alignment horizontal="left"/>
    </xf>
    <xf numFmtId="0" fontId="16" fillId="0" borderId="0" xfId="0" applyFont="1" applyAlignment="1">
      <alignment horizontal="right"/>
    </xf>
    <xf numFmtId="1" fontId="12" fillId="0" borderId="22" xfId="0" applyNumberFormat="1" applyFont="1" applyBorder="1"/>
    <xf numFmtId="1" fontId="12" fillId="0" borderId="18" xfId="0" applyNumberFormat="1" applyFont="1" applyBorder="1"/>
    <xf numFmtId="0" fontId="20" fillId="9" borderId="0" xfId="0" applyFont="1" applyFill="1"/>
    <xf numFmtId="0" fontId="12" fillId="9" borderId="0" xfId="0" applyFont="1" applyFill="1"/>
    <xf numFmtId="1" fontId="12" fillId="9" borderId="0" xfId="0" applyNumberFormat="1" applyFont="1" applyFill="1"/>
    <xf numFmtId="0" fontId="7" fillId="9" borderId="0" xfId="0" applyFont="1" applyFill="1" applyAlignment="1">
      <alignment horizontal="left"/>
    </xf>
    <xf numFmtId="0" fontId="12" fillId="9" borderId="15" xfId="0" applyFont="1" applyFill="1" applyBorder="1"/>
    <xf numFmtId="15" fontId="5" fillId="0" borderId="0" xfId="2" applyNumberFormat="1" applyFont="1" applyAlignment="1">
      <alignment horizontal="center"/>
    </xf>
    <xf numFmtId="0" fontId="49" fillId="0" borderId="0" xfId="0" applyFont="1" applyAlignment="1">
      <alignment horizontal="left" shrinkToFit="1"/>
    </xf>
    <xf numFmtId="0" fontId="49" fillId="0" borderId="0" xfId="0" applyFont="1" applyAlignment="1">
      <alignment horizontal="left" shrinkToFit="1"/>
    </xf>
    <xf numFmtId="1" fontId="12" fillId="5" borderId="0" xfId="0" applyNumberFormat="1" applyFont="1" applyFill="1"/>
    <xf numFmtId="1" fontId="19" fillId="9" borderId="0" xfId="0" applyNumberFormat="1" applyFont="1" applyFill="1"/>
    <xf numFmtId="0" fontId="7" fillId="9" borderId="0" xfId="0" applyFont="1" applyFill="1" applyAlignment="1">
      <alignment horizontal="left" indent="11"/>
    </xf>
    <xf numFmtId="9" fontId="12" fillId="9" borderId="0" xfId="0" applyNumberFormat="1" applyFont="1" applyFill="1" applyAlignment="1">
      <alignment horizontal="center"/>
    </xf>
    <xf numFmtId="1" fontId="47" fillId="0" borderId="0" xfId="0" applyNumberFormat="1" applyFont="1" applyAlignment="1">
      <alignment horizontal="left"/>
    </xf>
    <xf numFmtId="0" fontId="8" fillId="0" borderId="23" xfId="0" applyFont="1" applyBorder="1" applyAlignment="1">
      <alignment horizontal="center" shrinkToFit="1"/>
    </xf>
    <xf numFmtId="15" fontId="5" fillId="0" borderId="15" xfId="2" applyNumberFormat="1" applyFont="1" applyBorder="1" applyAlignment="1">
      <alignment horizontal="center"/>
    </xf>
    <xf numFmtId="0" fontId="49" fillId="0" borderId="15" xfId="0" applyFont="1" applyBorder="1" applyAlignment="1">
      <alignment horizontal="left" shrinkToFit="1"/>
    </xf>
    <xf numFmtId="1" fontId="8" fillId="0" borderId="7" xfId="0" applyNumberFormat="1" applyFont="1" applyBorder="1" applyAlignment="1">
      <alignment horizontal="center" shrinkToFit="1"/>
    </xf>
    <xf numFmtId="0" fontId="19" fillId="0" borderId="8" xfId="0" applyFont="1" applyBorder="1" applyAlignment="1">
      <alignment horizontal="left"/>
    </xf>
    <xf numFmtId="0" fontId="41" fillId="0" borderId="8" xfId="0" applyFont="1" applyBorder="1" applyAlignment="1">
      <alignment horizontal="left"/>
    </xf>
    <xf numFmtId="0" fontId="12" fillId="0" borderId="24" xfId="0" applyFont="1" applyBorder="1" applyAlignment="1">
      <alignment horizontal="center"/>
    </xf>
    <xf numFmtId="1" fontId="19" fillId="3" borderId="25" xfId="2" applyNumberFormat="1" applyFont="1" applyFill="1" applyBorder="1"/>
    <xf numFmtId="1" fontId="19" fillId="3" borderId="26" xfId="2" applyNumberFormat="1" applyFont="1" applyFill="1" applyBorder="1"/>
    <xf numFmtId="0" fontId="19" fillId="9" borderId="13" xfId="0" applyFont="1" applyFill="1" applyBorder="1"/>
    <xf numFmtId="0" fontId="50" fillId="0" borderId="1" xfId="0" applyFont="1" applyBorder="1" applyAlignment="1">
      <alignment horizontal="center"/>
    </xf>
    <xf numFmtId="0" fontId="50" fillId="0" borderId="2" xfId="0" applyFont="1" applyBorder="1" applyAlignment="1">
      <alignment horizontal="center"/>
    </xf>
    <xf numFmtId="0" fontId="50" fillId="0" borderId="3" xfId="0" applyFont="1" applyBorder="1" applyAlignment="1">
      <alignment horizontal="center"/>
    </xf>
    <xf numFmtId="14" fontId="51" fillId="0" borderId="7" xfId="0" applyNumberFormat="1" applyFont="1" applyBorder="1" applyAlignment="1">
      <alignment horizontal="center" shrinkToFit="1"/>
    </xf>
    <xf numFmtId="0" fontId="51" fillId="0" borderId="8" xfId="0" applyFont="1" applyBorder="1" applyAlignment="1">
      <alignment horizontal="center" shrinkToFit="1"/>
    </xf>
    <xf numFmtId="0" fontId="52" fillId="0" borderId="8" xfId="0" applyFont="1" applyBorder="1"/>
    <xf numFmtId="0" fontId="53" fillId="0" borderId="8" xfId="0" applyFont="1" applyBorder="1" applyAlignment="1">
      <alignment horizontal="center"/>
    </xf>
    <xf numFmtId="0" fontId="54" fillId="0" borderId="8" xfId="0" applyFont="1" applyBorder="1" applyAlignment="1">
      <alignment horizontal="center"/>
    </xf>
    <xf numFmtId="0" fontId="55" fillId="0" borderId="8" xfId="0" applyFont="1" applyBorder="1" applyAlignment="1">
      <alignment horizontal="center"/>
    </xf>
    <xf numFmtId="0" fontId="55" fillId="0" borderId="9" xfId="0" applyFont="1" applyBorder="1" applyAlignment="1">
      <alignment horizontal="center"/>
    </xf>
    <xf numFmtId="0" fontId="10" fillId="0" borderId="0" xfId="0" applyFont="1" applyAlignment="1">
      <alignment horizontal="left" indent="1"/>
    </xf>
    <xf numFmtId="0" fontId="28" fillId="0" borderId="0" xfId="0" applyFont="1" applyAlignment="1">
      <alignment horizontal="left"/>
    </xf>
    <xf numFmtId="0" fontId="28" fillId="0" borderId="0" xfId="0" applyFont="1" applyAlignment="1">
      <alignment horizontal="center"/>
    </xf>
    <xf numFmtId="0" fontId="5" fillId="0" borderId="0" xfId="0" applyFont="1" applyAlignment="1">
      <alignment horizontal="left" indent="1"/>
    </xf>
    <xf numFmtId="1" fontId="1" fillId="0" borderId="0" xfId="0" applyNumberFormat="1" applyFont="1"/>
    <xf numFmtId="0" fontId="52" fillId="0" borderId="0" xfId="0" applyFont="1" applyAlignment="1">
      <alignment horizontal="left" indent="1"/>
    </xf>
    <xf numFmtId="0" fontId="56" fillId="0" borderId="0" xfId="0" applyFont="1" applyAlignment="1">
      <alignment horizontal="left" indent="1"/>
    </xf>
    <xf numFmtId="1" fontId="12" fillId="0" borderId="15" xfId="0" applyNumberFormat="1" applyFont="1" applyBorder="1"/>
    <xf numFmtId="0" fontId="12" fillId="0" borderId="13" xfId="0" applyFont="1" applyBorder="1"/>
    <xf numFmtId="0" fontId="8" fillId="0" borderId="13" xfId="0" applyFont="1" applyBorder="1" applyAlignment="1">
      <alignment horizontal="right"/>
    </xf>
    <xf numFmtId="1" fontId="12" fillId="0" borderId="13" xfId="0" applyNumberFormat="1" applyFont="1" applyBorder="1"/>
    <xf numFmtId="0" fontId="8" fillId="0" borderId="0" xfId="0" applyFont="1" applyAlignment="1">
      <alignment horizontal="left"/>
    </xf>
    <xf numFmtId="0" fontId="8" fillId="0" borderId="13" xfId="0" applyFont="1" applyBorder="1" applyAlignment="1">
      <alignment horizontal="left"/>
    </xf>
    <xf numFmtId="0" fontId="57" fillId="10" borderId="1" xfId="2" applyFont="1" applyFill="1" applyBorder="1" applyAlignment="1">
      <alignment horizontal="center"/>
    </xf>
    <xf numFmtId="0" fontId="57" fillId="10" borderId="2" xfId="2" applyFont="1" applyFill="1" applyBorder="1" applyAlignment="1">
      <alignment horizontal="center"/>
    </xf>
    <xf numFmtId="0" fontId="57" fillId="10" borderId="3" xfId="2" applyFont="1" applyFill="1" applyBorder="1" applyAlignment="1">
      <alignment horizontal="center"/>
    </xf>
    <xf numFmtId="0" fontId="1" fillId="10" borderId="4" xfId="2" applyFill="1" applyBorder="1" applyAlignment="1">
      <alignment horizontal="left" indent="1"/>
    </xf>
    <xf numFmtId="0" fontId="12" fillId="10" borderId="0" xfId="0" applyFont="1" applyFill="1"/>
    <xf numFmtId="0" fontId="1" fillId="10" borderId="5" xfId="2" applyFill="1" applyBorder="1" applyAlignment="1">
      <alignment horizontal="center"/>
    </xf>
    <xf numFmtId="9" fontId="1" fillId="10" borderId="5" xfId="1" applyFont="1" applyFill="1" applyBorder="1" applyAlignment="1">
      <alignment horizontal="center"/>
    </xf>
    <xf numFmtId="0" fontId="58" fillId="0" borderId="0" xfId="0" applyFont="1" applyAlignment="1">
      <alignment horizontal="center"/>
    </xf>
    <xf numFmtId="0" fontId="58" fillId="0" borderId="0" xfId="0" applyFont="1" applyAlignment="1">
      <alignment horizontal="left"/>
    </xf>
    <xf numFmtId="0" fontId="59" fillId="11" borderId="4" xfId="2" applyFont="1" applyFill="1" applyBorder="1" applyAlignment="1">
      <alignment horizontal="center"/>
    </xf>
    <xf numFmtId="0" fontId="59" fillId="11" borderId="0" xfId="2" applyFont="1" applyFill="1" applyAlignment="1">
      <alignment horizontal="center"/>
    </xf>
    <xf numFmtId="0" fontId="59" fillId="11" borderId="5" xfId="2" applyFont="1" applyFill="1" applyBorder="1" applyAlignment="1">
      <alignment horizontal="center"/>
    </xf>
    <xf numFmtId="1" fontId="58" fillId="0" borderId="0" xfId="0" applyNumberFormat="1" applyFont="1" applyAlignment="1">
      <alignment horizontal="left"/>
    </xf>
    <xf numFmtId="0" fontId="1" fillId="11" borderId="4" xfId="2" applyFill="1" applyBorder="1" applyAlignment="1">
      <alignment horizontal="center"/>
    </xf>
    <xf numFmtId="0" fontId="1" fillId="11" borderId="0" xfId="2" applyFill="1" applyAlignment="1">
      <alignment horizontal="center"/>
    </xf>
    <xf numFmtId="0" fontId="1" fillId="11" borderId="5" xfId="2" applyFill="1" applyBorder="1" applyAlignment="1">
      <alignment horizontal="center"/>
    </xf>
    <xf numFmtId="1" fontId="58" fillId="0" borderId="0" xfId="0" applyNumberFormat="1" applyFont="1" applyAlignment="1">
      <alignment horizontal="center"/>
    </xf>
    <xf numFmtId="0" fontId="60" fillId="11" borderId="4" xfId="2" applyFont="1" applyFill="1" applyBorder="1" applyAlignment="1">
      <alignment horizontal="center"/>
    </xf>
    <xf numFmtId="0" fontId="60" fillId="11" borderId="0" xfId="2" applyFont="1" applyFill="1" applyAlignment="1">
      <alignment horizontal="center"/>
    </xf>
    <xf numFmtId="0" fontId="60" fillId="11" borderId="5" xfId="2" applyFont="1" applyFill="1" applyBorder="1" applyAlignment="1">
      <alignment horizontal="center"/>
    </xf>
    <xf numFmtId="0" fontId="1" fillId="11" borderId="7" xfId="2" applyFill="1" applyBorder="1" applyAlignment="1">
      <alignment horizontal="center"/>
    </xf>
    <xf numFmtId="0" fontId="1" fillId="11" borderId="8" xfId="2" applyFill="1" applyBorder="1" applyAlignment="1">
      <alignment horizontal="center"/>
    </xf>
    <xf numFmtId="0" fontId="1" fillId="11" borderId="9" xfId="2" applyFill="1" applyBorder="1" applyAlignment="1">
      <alignment horizontal="center"/>
    </xf>
    <xf numFmtId="0" fontId="61" fillId="12" borderId="0" xfId="2" applyFont="1" applyFill="1"/>
    <xf numFmtId="0" fontId="62" fillId="12" borderId="0" xfId="2" applyFont="1" applyFill="1"/>
    <xf numFmtId="0" fontId="11" fillId="12" borderId="0" xfId="2" applyFont="1" applyFill="1"/>
    <xf numFmtId="1" fontId="19" fillId="12" borderId="0" xfId="2" applyNumberFormat="1" applyFont="1" applyFill="1"/>
    <xf numFmtId="10" fontId="12" fillId="0" borderId="0" xfId="0" applyNumberFormat="1" applyFont="1"/>
    <xf numFmtId="164" fontId="12" fillId="0" borderId="0" xfId="0" applyNumberFormat="1" applyFont="1" applyAlignment="1">
      <alignment horizontal="center"/>
    </xf>
    <xf numFmtId="0" fontId="63" fillId="0" borderId="0" xfId="2" applyFont="1"/>
    <xf numFmtId="0" fontId="1" fillId="0" borderId="0" xfId="2"/>
    <xf numFmtId="0" fontId="5" fillId="0" borderId="0" xfId="2" applyFont="1"/>
    <xf numFmtId="2" fontId="64" fillId="0" borderId="0" xfId="2" applyNumberFormat="1" applyFont="1"/>
    <xf numFmtId="0" fontId="58" fillId="0" borderId="0" xfId="2" applyFont="1"/>
    <xf numFmtId="1" fontId="1" fillId="0" borderId="0" xfId="2" applyNumberFormat="1"/>
    <xf numFmtId="1" fontId="9" fillId="0" borderId="0" xfId="2" applyNumberFormat="1" applyFont="1"/>
    <xf numFmtId="0" fontId="58" fillId="0" borderId="0" xfId="2" applyFont="1" applyAlignment="1">
      <alignment horizontal="center" vertical="center"/>
    </xf>
    <xf numFmtId="0" fontId="1" fillId="0" borderId="0" xfId="2" applyAlignment="1">
      <alignment horizontal="center" vertical="center"/>
    </xf>
    <xf numFmtId="1" fontId="51" fillId="0" borderId="0" xfId="2" applyNumberFormat="1" applyFont="1" applyAlignment="1">
      <alignment horizontal="center" vertical="center" wrapText="1"/>
    </xf>
    <xf numFmtId="1" fontId="1" fillId="0" borderId="0" xfId="2" applyNumberFormat="1" applyAlignment="1">
      <alignment horizontal="center" vertical="center"/>
    </xf>
    <xf numFmtId="0" fontId="8" fillId="0" borderId="0" xfId="0" applyFont="1" applyAlignment="1">
      <alignment horizontal="center" shrinkToFit="1"/>
    </xf>
    <xf numFmtId="165" fontId="1" fillId="0" borderId="0" xfId="2" applyNumberFormat="1" applyAlignment="1">
      <alignment horizontal="center"/>
    </xf>
    <xf numFmtId="1" fontId="1" fillId="10" borderId="0" xfId="2" applyNumberFormat="1" applyFill="1"/>
    <xf numFmtId="1" fontId="1" fillId="0" borderId="0" xfId="2" applyNumberFormat="1" applyAlignment="1">
      <alignment horizontal="center"/>
    </xf>
    <xf numFmtId="2" fontId="30" fillId="0" borderId="0" xfId="2" applyNumberFormat="1" applyFont="1" applyAlignment="1">
      <alignment horizontal="center"/>
    </xf>
    <xf numFmtId="0" fontId="30" fillId="0" borderId="0" xfId="0" applyFont="1" applyAlignment="1">
      <alignment horizontal="center"/>
    </xf>
    <xf numFmtId="1" fontId="30"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 fontId="62" fillId="0" borderId="13" xfId="2" applyNumberFormat="1" applyFont="1" applyBorder="1"/>
    <xf numFmtId="1" fontId="62" fillId="3" borderId="13" xfId="2" applyNumberFormat="1" applyFont="1" applyFill="1" applyBorder="1" applyAlignment="1">
      <alignment horizontal="center"/>
    </xf>
    <xf numFmtId="0" fontId="8" fillId="0" borderId="8" xfId="0" applyFont="1" applyBorder="1" applyAlignment="1">
      <alignment shrinkToFit="1"/>
    </xf>
    <xf numFmtId="0" fontId="1" fillId="0" borderId="8" xfId="2" applyBorder="1"/>
    <xf numFmtId="1" fontId="62" fillId="0" borderId="8" xfId="2" applyNumberFormat="1" applyFont="1" applyBorder="1"/>
    <xf numFmtId="2" fontId="62" fillId="0" borderId="0" xfId="2" applyNumberFormat="1" applyFont="1"/>
    <xf numFmtId="0" fontId="1" fillId="0" borderId="0" xfId="2" applyAlignment="1">
      <alignment horizontal="center"/>
    </xf>
    <xf numFmtId="17" fontId="1" fillId="0" borderId="0" xfId="2" applyNumberFormat="1" applyAlignment="1">
      <alignment horizontal="center"/>
    </xf>
    <xf numFmtId="0" fontId="58" fillId="0" borderId="0" xfId="2" applyFont="1" applyAlignment="1">
      <alignment horizontal="left" indent="1"/>
    </xf>
    <xf numFmtId="1" fontId="1" fillId="0" borderId="13" xfId="2" applyNumberFormat="1" applyBorder="1"/>
    <xf numFmtId="9" fontId="5" fillId="0" borderId="0" xfId="2" applyNumberFormat="1" applyFont="1" applyAlignment="1">
      <alignment horizontal="center"/>
    </xf>
    <xf numFmtId="0" fontId="65" fillId="0" borderId="0" xfId="2" applyFont="1" applyAlignment="1">
      <alignment horizontal="left"/>
    </xf>
    <xf numFmtId="2" fontId="9" fillId="0" borderId="0" xfId="2" applyNumberFormat="1" applyFont="1" applyAlignment="1">
      <alignment horizontal="center"/>
    </xf>
    <xf numFmtId="0" fontId="9" fillId="0" borderId="0" xfId="0" applyFont="1" applyAlignment="1">
      <alignment horizontal="center"/>
    </xf>
    <xf numFmtId="1" fontId="9" fillId="0" borderId="0" xfId="0" applyNumberFormat="1" applyFont="1" applyAlignment="1">
      <alignment horizontal="center"/>
    </xf>
    <xf numFmtId="1" fontId="65" fillId="0" borderId="0" xfId="2" applyNumberFormat="1" applyFont="1" applyAlignment="1">
      <alignment horizontal="left"/>
    </xf>
    <xf numFmtId="1" fontId="66" fillId="0" borderId="0" xfId="2" applyNumberFormat="1" applyFont="1" applyAlignment="1">
      <alignment horizontal="left"/>
    </xf>
    <xf numFmtId="2" fontId="62" fillId="0" borderId="0" xfId="2" applyNumberFormat="1" applyFont="1" applyAlignment="1">
      <alignment horizontal="center"/>
    </xf>
    <xf numFmtId="1" fontId="65" fillId="0" borderId="0" xfId="2" applyNumberFormat="1" applyFont="1" applyAlignment="1">
      <alignment horizontal="right"/>
    </xf>
    <xf numFmtId="1" fontId="1" fillId="0" borderId="0" xfId="2" applyNumberFormat="1" applyAlignment="1">
      <alignment horizontal="right"/>
    </xf>
    <xf numFmtId="0" fontId="12" fillId="0" borderId="8" xfId="0" applyFont="1" applyBorder="1"/>
    <xf numFmtId="0" fontId="58" fillId="0" borderId="8" xfId="2" applyFont="1" applyBorder="1"/>
    <xf numFmtId="1" fontId="1" fillId="0" borderId="8" xfId="2" applyNumberFormat="1" applyBorder="1" applyAlignment="1">
      <alignment horizontal="right"/>
    </xf>
    <xf numFmtId="1" fontId="1" fillId="0" borderId="8" xfId="2" applyNumberFormat="1" applyBorder="1"/>
    <xf numFmtId="2" fontId="62" fillId="0" borderId="8" xfId="2" applyNumberFormat="1" applyFont="1" applyBorder="1" applyAlignment="1">
      <alignment horizontal="center"/>
    </xf>
    <xf numFmtId="14" fontId="1" fillId="0" borderId="0" xfId="2" applyNumberFormat="1" applyAlignment="1">
      <alignment horizontal="center"/>
    </xf>
    <xf numFmtId="2" fontId="67" fillId="0" borderId="0" xfId="2" applyNumberFormat="1" applyFont="1" applyAlignment="1">
      <alignment horizontal="center"/>
    </xf>
    <xf numFmtId="0" fontId="67" fillId="0" borderId="0" xfId="0" applyFont="1" applyAlignment="1">
      <alignment horizontal="center"/>
    </xf>
    <xf numFmtId="1" fontId="12" fillId="0" borderId="0" xfId="0" applyNumberFormat="1" applyFont="1" applyAlignment="1">
      <alignment horizontal="right"/>
    </xf>
    <xf numFmtId="0" fontId="67" fillId="0" borderId="0" xfId="0" applyFont="1"/>
    <xf numFmtId="1" fontId="67" fillId="0" borderId="0" xfId="0" applyNumberFormat="1" applyFont="1" applyAlignment="1">
      <alignment horizontal="center"/>
    </xf>
    <xf numFmtId="17" fontId="1" fillId="0" borderId="0" xfId="2" applyNumberFormat="1"/>
    <xf numFmtId="0" fontId="68" fillId="0" borderId="1" xfId="2" applyFont="1" applyBorder="1"/>
    <xf numFmtId="0" fontId="7" fillId="0" borderId="2" xfId="0" applyFont="1" applyBorder="1"/>
    <xf numFmtId="0" fontId="69" fillId="0" borderId="2" xfId="0" applyFont="1" applyBorder="1" applyAlignment="1">
      <alignment horizontal="center"/>
    </xf>
    <xf numFmtId="0" fontId="69" fillId="0" borderId="3" xfId="0" applyFont="1" applyBorder="1" applyAlignment="1">
      <alignment horizontal="center"/>
    </xf>
    <xf numFmtId="0" fontId="70" fillId="0" borderId="0" xfId="0" applyFont="1"/>
    <xf numFmtId="0" fontId="58" fillId="0" borderId="0" xfId="0" applyFont="1"/>
    <xf numFmtId="0" fontId="9" fillId="0" borderId="4" xfId="2" applyFont="1" applyBorder="1"/>
    <xf numFmtId="0" fontId="20" fillId="0" borderId="0" xfId="2" applyFont="1"/>
    <xf numFmtId="0" fontId="71" fillId="0" borderId="4" xfId="0" applyFont="1" applyBorder="1" applyAlignment="1">
      <alignment horizontal="center" vertical="center"/>
    </xf>
    <xf numFmtId="0" fontId="73" fillId="0" borderId="0" xfId="0" applyFont="1" applyAlignment="1">
      <alignment horizontal="left" vertical="top" wrapText="1"/>
    </xf>
    <xf numFmtId="0" fontId="73" fillId="0" borderId="5" xfId="0" applyFont="1" applyBorder="1" applyAlignment="1">
      <alignment horizontal="left" vertical="top" wrapText="1"/>
    </xf>
    <xf numFmtId="0" fontId="24" fillId="0" borderId="0" xfId="2" applyFont="1" applyAlignment="1">
      <alignment horizontal="left" vertical="center"/>
    </xf>
    <xf numFmtId="0" fontId="7" fillId="0" borderId="4" xfId="0" applyFont="1" applyBorder="1" applyAlignment="1">
      <alignment shrinkToFit="1"/>
    </xf>
    <xf numFmtId="0" fontId="74" fillId="0" borderId="0" xfId="0" applyFont="1" applyAlignment="1">
      <alignment horizontal="left" vertical="top" wrapText="1"/>
    </xf>
    <xf numFmtId="0" fontId="74" fillId="0" borderId="5" xfId="0" applyFont="1" applyBorder="1" applyAlignment="1">
      <alignment horizontal="left" vertical="top" wrapText="1"/>
    </xf>
    <xf numFmtId="0" fontId="7" fillId="0" borderId="7" xfId="0" applyFont="1" applyBorder="1" applyAlignment="1">
      <alignment shrinkToFit="1"/>
    </xf>
    <xf numFmtId="0" fontId="73" fillId="0" borderId="8" xfId="0" applyFont="1" applyBorder="1" applyAlignment="1">
      <alignment horizontal="left" vertical="top" wrapText="1"/>
    </xf>
    <xf numFmtId="0" fontId="7" fillId="0" borderId="9" xfId="0" applyFont="1" applyBorder="1"/>
    <xf numFmtId="0" fontId="7" fillId="0" borderId="0" xfId="0" applyFont="1" applyAlignment="1">
      <alignment shrinkToFit="1"/>
    </xf>
    <xf numFmtId="0" fontId="73" fillId="0" borderId="0" xfId="0" applyFont="1" applyAlignment="1">
      <alignment horizontal="left" vertical="top" wrapText="1"/>
    </xf>
    <xf numFmtId="0" fontId="73" fillId="0" borderId="2" xfId="0" applyFont="1" applyBorder="1" applyAlignment="1">
      <alignment horizontal="left" vertical="top" wrapText="1"/>
    </xf>
    <xf numFmtId="0" fontId="76" fillId="0" borderId="2" xfId="0" applyFont="1" applyBorder="1" applyAlignment="1">
      <alignment horizontal="center"/>
    </xf>
    <xf numFmtId="0" fontId="76" fillId="0" borderId="3" xfId="0" applyFont="1" applyBorder="1" applyAlignment="1">
      <alignment horizontal="center"/>
    </xf>
    <xf numFmtId="0" fontId="12" fillId="0" borderId="0" xfId="2" applyFont="1"/>
    <xf numFmtId="0" fontId="77" fillId="0" borderId="0" xfId="2" applyFont="1"/>
    <xf numFmtId="0" fontId="12" fillId="0" borderId="0" xfId="2" applyFont="1" applyAlignment="1">
      <alignment horizontal="right"/>
    </xf>
    <xf numFmtId="0" fontId="8" fillId="0" borderId="4" xfId="0" applyFont="1" applyBorder="1" applyAlignment="1">
      <alignment shrinkToFit="1"/>
    </xf>
    <xf numFmtId="0" fontId="7" fillId="0" borderId="0" xfId="2" applyFont="1"/>
    <xf numFmtId="0" fontId="8" fillId="0" borderId="0" xfId="2" applyFont="1"/>
    <xf numFmtId="0" fontId="8" fillId="0" borderId="7" xfId="0" applyFont="1" applyBorder="1" applyAlignment="1">
      <alignment shrinkToFit="1"/>
    </xf>
    <xf numFmtId="0" fontId="7" fillId="0" borderId="8" xfId="2" applyFont="1" applyBorder="1"/>
    <xf numFmtId="0" fontId="12" fillId="0" borderId="9" xfId="0" applyFont="1" applyBorder="1"/>
    <xf numFmtId="0" fontId="69" fillId="0" borderId="1" xfId="2" applyFont="1" applyBorder="1"/>
    <xf numFmtId="0" fontId="58" fillId="0" borderId="2" xfId="2" applyFont="1" applyBorder="1" applyAlignment="1">
      <alignment horizontal="center"/>
    </xf>
    <xf numFmtId="0" fontId="1" fillId="0" borderId="2" xfId="2" applyBorder="1" applyAlignment="1">
      <alignment horizontal="center"/>
    </xf>
    <xf numFmtId="0" fontId="47" fillId="0" borderId="2" xfId="2" applyFont="1" applyBorder="1"/>
    <xf numFmtId="0" fontId="12" fillId="0" borderId="2" xfId="0" applyFont="1" applyBorder="1"/>
    <xf numFmtId="0" fontId="12" fillId="0" borderId="3" xfId="0" applyFont="1" applyBorder="1"/>
    <xf numFmtId="0" fontId="12" fillId="0" borderId="4" xfId="2" applyFont="1" applyBorder="1" applyAlignment="1">
      <alignment horizontal="left" indent="1"/>
    </xf>
    <xf numFmtId="0" fontId="12" fillId="0" borderId="0" xfId="2" applyFont="1" applyAlignment="1">
      <alignment horizontal="left" indent="1"/>
    </xf>
    <xf numFmtId="0" fontId="1" fillId="0" borderId="0" xfId="2" applyAlignment="1">
      <alignment horizontal="right"/>
    </xf>
    <xf numFmtId="0" fontId="69" fillId="0" borderId="4" xfId="2" applyFont="1" applyBorder="1"/>
    <xf numFmtId="0" fontId="29" fillId="0" borderId="0" xfId="2" applyFont="1" applyAlignment="1">
      <alignment horizontal="left"/>
    </xf>
    <xf numFmtId="0" fontId="1" fillId="0" borderId="0" xfId="2" applyAlignment="1">
      <alignment horizontal="left" indent="1"/>
    </xf>
    <xf numFmtId="0" fontId="69" fillId="0" borderId="7" xfId="2" applyFont="1" applyBorder="1"/>
    <xf numFmtId="0" fontId="78" fillId="0" borderId="8" xfId="2" applyFont="1" applyBorder="1"/>
    <xf numFmtId="0" fontId="1" fillId="0" borderId="8" xfId="2" applyBorder="1" applyAlignment="1">
      <alignment horizontal="right"/>
    </xf>
    <xf numFmtId="0" fontId="19" fillId="0" borderId="0" xfId="2" applyFont="1"/>
  </cellXfs>
  <cellStyles count="3">
    <cellStyle name="Normal" xfId="0" builtinId="0"/>
    <cellStyle name="Normal 2 2" xfId="2" xr:uid="{FC45CDB4-1552-4787-B960-1CA27C13BECE}"/>
    <cellStyle name="Percent" xfId="1" builtinId="5"/>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33ED5-D76F-4836-B742-4C2AA93A8C04}">
  <sheetPr>
    <pageSetUpPr fitToPage="1"/>
  </sheetPr>
  <dimension ref="A1:N172"/>
  <sheetViews>
    <sheetView showZeros="0" tabSelected="1" zoomScale="120" workbookViewId="0">
      <selection activeCell="K19" sqref="K19"/>
    </sheetView>
  </sheetViews>
  <sheetFormatPr defaultColWidth="9.109375" defaultRowHeight="15" customHeight="1" x14ac:dyDescent="0.25"/>
  <cols>
    <col min="1" max="1" width="4.6640625" style="254" customWidth="1"/>
    <col min="2" max="2" width="11"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 style="18" customWidth="1"/>
    <col min="10" max="10" width="4.44140625" style="18" customWidth="1"/>
    <col min="11" max="11" width="29.5546875" style="18" customWidth="1"/>
    <col min="12" max="12" width="12.6640625" style="18" customWidth="1"/>
    <col min="13" max="13" width="11.33203125" style="18" customWidth="1"/>
    <col min="14" max="14" width="10.6640625"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c r="N1" s="8" t="s">
        <v>3</v>
      </c>
    </row>
    <row r="2" spans="1:14" ht="15" customHeight="1" thickBot="1" x14ac:dyDescent="0.3">
      <c r="A2" s="10" t="s">
        <v>4</v>
      </c>
      <c r="B2" s="11"/>
      <c r="C2" s="11"/>
      <c r="D2" s="12" t="s">
        <v>5</v>
      </c>
      <c r="E2" s="13" t="s">
        <v>6</v>
      </c>
      <c r="F2" s="14" t="s">
        <v>7</v>
      </c>
      <c r="G2" s="14"/>
      <c r="H2" s="15">
        <v>26506</v>
      </c>
      <c r="I2" s="16">
        <f>IF(H2&lt;21642,"Sr",0)</f>
        <v>0</v>
      </c>
      <c r="J2" s="17"/>
      <c r="K2" s="18" t="s">
        <v>8</v>
      </c>
      <c r="L2" s="19">
        <v>180000</v>
      </c>
      <c r="N2" s="20">
        <v>44401</v>
      </c>
    </row>
    <row r="3" spans="1:14" ht="15" customHeight="1" x14ac:dyDescent="0.25">
      <c r="A3" s="21"/>
      <c r="B3" s="22" t="s">
        <v>9</v>
      </c>
      <c r="G3" s="23"/>
      <c r="H3" s="24" t="s">
        <v>10</v>
      </c>
      <c r="I3" s="25"/>
      <c r="K3" s="26" t="s">
        <v>11</v>
      </c>
      <c r="N3" s="27" t="s">
        <v>12</v>
      </c>
    </row>
    <row r="4" spans="1:14" ht="15" customHeight="1" x14ac:dyDescent="0.25">
      <c r="A4" s="21"/>
      <c r="B4" s="28" t="s">
        <v>13</v>
      </c>
      <c r="C4" s="29" t="s">
        <v>14</v>
      </c>
      <c r="D4" s="30"/>
      <c r="G4" s="31">
        <v>180000</v>
      </c>
      <c r="H4" s="32"/>
      <c r="I4" s="25"/>
      <c r="K4" s="33" t="s">
        <v>15</v>
      </c>
      <c r="L4" s="34">
        <v>4600000</v>
      </c>
      <c r="M4" s="35"/>
      <c r="N4" s="36">
        <v>44561</v>
      </c>
    </row>
    <row r="5" spans="1:14" ht="15" customHeight="1" x14ac:dyDescent="0.25">
      <c r="A5" s="37"/>
      <c r="B5" s="38" t="s">
        <v>13</v>
      </c>
      <c r="C5" s="39" t="s">
        <v>16</v>
      </c>
      <c r="F5" s="40">
        <f>+L6</f>
        <v>4800000</v>
      </c>
      <c r="H5" s="41"/>
      <c r="I5" s="42"/>
      <c r="K5" s="43" t="s">
        <v>17</v>
      </c>
      <c r="L5" s="34">
        <v>200000</v>
      </c>
      <c r="N5" s="44" t="s">
        <v>18</v>
      </c>
    </row>
    <row r="6" spans="1:14" ht="15" customHeight="1" thickBot="1" x14ac:dyDescent="0.3">
      <c r="A6" s="37"/>
      <c r="B6" s="38" t="s">
        <v>19</v>
      </c>
      <c r="C6" s="39" t="s">
        <v>20</v>
      </c>
      <c r="F6" s="40">
        <f>L7+L8</f>
        <v>735000</v>
      </c>
      <c r="H6" s="41"/>
      <c r="I6" s="42"/>
      <c r="L6" s="45">
        <f>SUM(L4:L5)</f>
        <v>4800000</v>
      </c>
      <c r="M6" s="45"/>
      <c r="N6" s="46">
        <v>44518</v>
      </c>
    </row>
    <row r="7" spans="1:14" ht="15" customHeight="1" thickTop="1" x14ac:dyDescent="0.25">
      <c r="A7" s="37"/>
      <c r="B7" s="38" t="s">
        <v>21</v>
      </c>
      <c r="C7" s="39" t="s">
        <v>22</v>
      </c>
      <c r="F7" s="47"/>
      <c r="G7" s="48">
        <f>F5+F6+F7</f>
        <v>5535000</v>
      </c>
      <c r="H7" s="41"/>
      <c r="I7" s="42"/>
      <c r="K7" s="49" t="s">
        <v>23</v>
      </c>
      <c r="L7" s="43">
        <v>720000</v>
      </c>
      <c r="M7" s="50" t="s">
        <v>24</v>
      </c>
      <c r="N7" s="51" t="s">
        <v>25</v>
      </c>
    </row>
    <row r="8" spans="1:14" ht="15" customHeight="1" x14ac:dyDescent="0.25">
      <c r="A8" s="37"/>
      <c r="B8" s="22"/>
      <c r="C8" s="39"/>
      <c r="E8" s="52"/>
      <c r="F8" s="52" t="s">
        <v>26</v>
      </c>
      <c r="G8" s="53">
        <f>G4+G7</f>
        <v>5715000</v>
      </c>
      <c r="H8" s="41"/>
      <c r="I8" s="42"/>
      <c r="K8" s="43" t="s">
        <v>27</v>
      </c>
      <c r="L8" s="43">
        <v>15000</v>
      </c>
      <c r="N8" s="54" t="s">
        <v>28</v>
      </c>
    </row>
    <row r="9" spans="1:14" ht="15" customHeight="1" thickBot="1" x14ac:dyDescent="0.3">
      <c r="A9" s="37"/>
      <c r="B9" s="55" t="s">
        <v>29</v>
      </c>
      <c r="C9" s="39" t="s">
        <v>30</v>
      </c>
      <c r="G9" s="56"/>
      <c r="H9" s="57"/>
      <c r="I9" s="42"/>
      <c r="K9" s="58" t="s">
        <v>31</v>
      </c>
      <c r="L9" s="58"/>
      <c r="M9" s="59"/>
      <c r="N9" s="60">
        <v>5000</v>
      </c>
    </row>
    <row r="10" spans="1:14" ht="15" customHeight="1" x14ac:dyDescent="0.25">
      <c r="A10" s="37"/>
      <c r="B10" s="22"/>
      <c r="F10" s="52" t="s">
        <v>32</v>
      </c>
      <c r="G10" s="61">
        <f>G8-G9</f>
        <v>5715000</v>
      </c>
      <c r="H10" s="57"/>
      <c r="I10" s="42"/>
      <c r="K10" s="62" t="s">
        <v>33</v>
      </c>
    </row>
    <row r="11" spans="1:14" ht="15" customHeight="1" x14ac:dyDescent="0.25">
      <c r="A11" s="37"/>
      <c r="B11" s="38" t="s">
        <v>34</v>
      </c>
      <c r="C11" s="63" t="s">
        <v>35</v>
      </c>
      <c r="G11" s="56">
        <v>50000</v>
      </c>
      <c r="H11" s="57">
        <f>G10-G11</f>
        <v>5665000</v>
      </c>
      <c r="I11" s="42"/>
      <c r="J11" s="17"/>
      <c r="L11" s="43"/>
    </row>
    <row r="12" spans="1:14" ht="18.75" customHeight="1" x14ac:dyDescent="0.25">
      <c r="A12" s="37"/>
      <c r="B12" s="22" t="s">
        <v>36</v>
      </c>
      <c r="E12" s="64"/>
      <c r="G12" s="23"/>
      <c r="H12" s="57"/>
      <c r="I12" s="42"/>
    </row>
    <row r="13" spans="1:14" ht="17.25" customHeight="1" x14ac:dyDescent="0.25">
      <c r="A13" s="37"/>
      <c r="B13" s="65"/>
      <c r="C13" s="39" t="s">
        <v>37</v>
      </c>
      <c r="D13" s="39"/>
      <c r="E13" s="64"/>
      <c r="F13" s="66"/>
      <c r="G13" s="67">
        <f>+M14</f>
        <v>680000</v>
      </c>
      <c r="H13" s="41"/>
      <c r="I13" s="68"/>
      <c r="K13" s="18" t="s">
        <v>38</v>
      </c>
      <c r="M13" s="43"/>
    </row>
    <row r="14" spans="1:14" ht="15.75" customHeight="1" x14ac:dyDescent="0.25">
      <c r="A14" s="37"/>
      <c r="C14" s="39" t="s">
        <v>39</v>
      </c>
      <c r="D14" s="39"/>
      <c r="E14" s="69" t="s">
        <v>40</v>
      </c>
      <c r="F14" s="17"/>
      <c r="G14" s="70"/>
      <c r="H14" s="41"/>
      <c r="I14" s="68"/>
      <c r="K14" s="18" t="s">
        <v>41</v>
      </c>
      <c r="M14" s="18">
        <v>680000</v>
      </c>
      <c r="N14" s="71" t="s">
        <v>42</v>
      </c>
    </row>
    <row r="15" spans="1:14" ht="12.75" customHeight="1" x14ac:dyDescent="0.25">
      <c r="A15" s="37"/>
      <c r="C15" s="39"/>
      <c r="D15" s="39"/>
      <c r="E15" s="69"/>
      <c r="F15" s="17"/>
      <c r="G15" s="18">
        <f>G13-G14</f>
        <v>680000</v>
      </c>
      <c r="H15" s="41"/>
      <c r="I15" s="68"/>
      <c r="K15" s="18" t="s">
        <v>43</v>
      </c>
      <c r="M15" s="18">
        <v>20000</v>
      </c>
    </row>
    <row r="16" spans="1:14" ht="15" customHeight="1" x14ac:dyDescent="0.25">
      <c r="A16" s="37"/>
      <c r="B16" s="38" t="s">
        <v>44</v>
      </c>
      <c r="C16" s="63" t="s">
        <v>45</v>
      </c>
      <c r="D16" s="39"/>
      <c r="E16" s="69" t="s">
        <v>46</v>
      </c>
      <c r="F16" s="35">
        <f>ROUND(G15*0.3,0)</f>
        <v>204000</v>
      </c>
      <c r="H16" s="41"/>
      <c r="I16" s="68"/>
      <c r="K16" s="18" t="s">
        <v>47</v>
      </c>
      <c r="M16" s="18">
        <v>265000</v>
      </c>
    </row>
    <row r="17" spans="1:14" ht="15" customHeight="1" x14ac:dyDescent="0.25">
      <c r="A17" s="37"/>
      <c r="E17" s="69"/>
      <c r="F17" s="72">
        <f>+M16</f>
        <v>265000</v>
      </c>
      <c r="G17" s="73">
        <f>F16+F17</f>
        <v>469000</v>
      </c>
      <c r="H17" s="41">
        <f>G15-G17</f>
        <v>211000</v>
      </c>
      <c r="I17" s="68"/>
      <c r="J17" s="74"/>
    </row>
    <row r="18" spans="1:14" ht="15" customHeight="1" x14ac:dyDescent="0.25">
      <c r="A18" s="37"/>
      <c r="B18" s="22" t="s">
        <v>48</v>
      </c>
      <c r="C18" s="75"/>
      <c r="H18" s="41"/>
      <c r="I18" s="42"/>
      <c r="K18" s="76" t="s">
        <v>49</v>
      </c>
      <c r="L18" s="76"/>
      <c r="M18" s="76">
        <v>890000</v>
      </c>
    </row>
    <row r="19" spans="1:14" ht="15" customHeight="1" x14ac:dyDescent="0.25">
      <c r="A19" s="37"/>
      <c r="C19" s="39" t="s">
        <v>50</v>
      </c>
      <c r="H19" s="41"/>
      <c r="I19" s="68"/>
      <c r="J19" s="17"/>
      <c r="K19" s="76" t="s">
        <v>51</v>
      </c>
      <c r="L19" s="76"/>
      <c r="M19" s="76">
        <v>100000</v>
      </c>
    </row>
    <row r="20" spans="1:14" ht="15" customHeight="1" x14ac:dyDescent="0.25">
      <c r="A20" s="37"/>
      <c r="C20" s="77" t="s">
        <v>52</v>
      </c>
      <c r="E20" s="63"/>
      <c r="H20" s="41"/>
      <c r="I20" s="68"/>
      <c r="J20" s="17"/>
      <c r="K20" s="76" t="s">
        <v>53</v>
      </c>
      <c r="L20" s="76"/>
      <c r="M20" s="76">
        <v>100000</v>
      </c>
      <c r="N20" s="71" t="s">
        <v>54</v>
      </c>
    </row>
    <row r="21" spans="1:14" ht="15" customHeight="1" x14ac:dyDescent="0.25">
      <c r="A21" s="78">
        <v>0.1</v>
      </c>
      <c r="B21" s="66" t="s">
        <v>55</v>
      </c>
      <c r="C21" s="76" t="s">
        <v>56</v>
      </c>
      <c r="D21" s="76"/>
      <c r="E21" s="76"/>
      <c r="F21" s="76">
        <f>+M18</f>
        <v>890000</v>
      </c>
      <c r="G21" s="76"/>
      <c r="H21" s="41"/>
      <c r="I21" s="68"/>
      <c r="J21" s="17"/>
      <c r="K21" s="79" t="s">
        <v>57</v>
      </c>
      <c r="L21" s="76"/>
      <c r="M21" s="80"/>
    </row>
    <row r="22" spans="1:14" ht="15" customHeight="1" thickBot="1" x14ac:dyDescent="0.3">
      <c r="A22" s="81"/>
      <c r="C22" s="82" t="s">
        <v>58</v>
      </c>
      <c r="D22" s="76"/>
      <c r="E22" s="83" t="s">
        <v>59</v>
      </c>
      <c r="F22" s="84">
        <f>+M19</f>
        <v>100000</v>
      </c>
      <c r="G22" s="85">
        <f>F21-F22</f>
        <v>790000</v>
      </c>
      <c r="H22" s="41"/>
      <c r="I22" s="68"/>
      <c r="J22" s="86"/>
      <c r="K22" s="18" t="s">
        <v>60</v>
      </c>
      <c r="M22" s="18">
        <v>9000000</v>
      </c>
    </row>
    <row r="23" spans="1:14" ht="15" customHeight="1" thickTop="1" x14ac:dyDescent="0.25">
      <c r="A23" s="37"/>
      <c r="B23" s="63"/>
      <c r="C23" s="87" t="s">
        <v>53</v>
      </c>
      <c r="D23" s="76"/>
      <c r="E23" s="76"/>
      <c r="F23" s="76"/>
      <c r="G23" s="88" t="s">
        <v>61</v>
      </c>
      <c r="H23" s="41"/>
      <c r="I23" s="68"/>
      <c r="J23" s="86">
        <v>301</v>
      </c>
      <c r="K23" s="18" t="s">
        <v>62</v>
      </c>
      <c r="M23" s="18">
        <v>9600000</v>
      </c>
      <c r="N23" s="89">
        <v>0.1</v>
      </c>
    </row>
    <row r="24" spans="1:14" ht="15" customHeight="1" x14ac:dyDescent="0.25">
      <c r="A24" s="90">
        <v>0.2</v>
      </c>
      <c r="B24" s="66" t="s">
        <v>63</v>
      </c>
      <c r="C24" s="18" t="s">
        <v>64</v>
      </c>
      <c r="G24" s="18">
        <f>+M22</f>
        <v>9000000</v>
      </c>
      <c r="H24" s="41"/>
      <c r="I24" s="68"/>
      <c r="J24" s="86"/>
      <c r="K24" s="18" t="s">
        <v>65</v>
      </c>
      <c r="M24" s="18">
        <v>100000</v>
      </c>
      <c r="N24" s="91"/>
    </row>
    <row r="25" spans="1:14" ht="15" customHeight="1" x14ac:dyDescent="0.25">
      <c r="A25" s="81"/>
      <c r="C25" s="92" t="s">
        <v>66</v>
      </c>
      <c r="F25" s="18">
        <f>+M24</f>
        <v>100000</v>
      </c>
      <c r="H25" s="41"/>
      <c r="I25" s="68"/>
      <c r="J25" s="86">
        <v>113</v>
      </c>
      <c r="K25" s="18" t="s">
        <v>67</v>
      </c>
      <c r="L25" s="93">
        <v>38153</v>
      </c>
      <c r="M25" s="18">
        <v>80000</v>
      </c>
      <c r="N25" s="91"/>
    </row>
    <row r="26" spans="1:14" ht="15" customHeight="1" x14ac:dyDescent="0.25">
      <c r="A26" s="37"/>
      <c r="C26" s="92" t="s">
        <v>68</v>
      </c>
      <c r="E26" s="94" t="s">
        <v>69</v>
      </c>
      <c r="F26" s="73">
        <f>ROUND(80000*301/113,0)</f>
        <v>213097</v>
      </c>
      <c r="G26" s="95">
        <f>F26+F25</f>
        <v>313097</v>
      </c>
      <c r="H26" s="41"/>
      <c r="I26" s="68"/>
      <c r="J26" s="86"/>
      <c r="K26" s="55" t="s">
        <v>70</v>
      </c>
      <c r="M26" s="18">
        <v>3300000</v>
      </c>
      <c r="N26" s="91"/>
    </row>
    <row r="27" spans="1:14" ht="15" customHeight="1" x14ac:dyDescent="0.3">
      <c r="A27" s="37"/>
      <c r="C27" s="92"/>
      <c r="E27" s="96"/>
      <c r="F27" s="96" t="s">
        <v>71</v>
      </c>
      <c r="G27" s="18">
        <f>G24-G26</f>
        <v>8686903</v>
      </c>
      <c r="H27" s="41"/>
      <c r="I27" s="68"/>
      <c r="K27" s="97" t="s">
        <v>72</v>
      </c>
    </row>
    <row r="28" spans="1:14" ht="15" customHeight="1" x14ac:dyDescent="0.25">
      <c r="A28" s="37"/>
      <c r="B28" s="98" t="s">
        <v>73</v>
      </c>
      <c r="C28" s="99" t="s">
        <v>74</v>
      </c>
      <c r="F28" s="100"/>
      <c r="G28" s="101">
        <f>ROUND(3300000/8900000*8686903,0)</f>
        <v>3220987</v>
      </c>
      <c r="I28" s="68"/>
      <c r="K28" s="102" t="s">
        <v>75</v>
      </c>
      <c r="L28" s="103"/>
      <c r="M28" s="104"/>
      <c r="N28" s="91"/>
    </row>
    <row r="29" spans="1:14" ht="15" customHeight="1" thickBot="1" x14ac:dyDescent="0.3">
      <c r="A29" s="105"/>
      <c r="B29" s="106"/>
      <c r="C29" s="107"/>
      <c r="D29" s="107"/>
      <c r="E29" s="107"/>
      <c r="F29" s="107"/>
      <c r="G29" s="108">
        <f>+G27-G28</f>
        <v>5465916</v>
      </c>
      <c r="H29" s="41">
        <f>G29+G22</f>
        <v>6255916</v>
      </c>
      <c r="I29" s="68"/>
      <c r="K29" s="102" t="s">
        <v>76</v>
      </c>
      <c r="L29" s="103"/>
      <c r="M29" s="103"/>
    </row>
    <row r="30" spans="1:14" ht="15" customHeight="1" thickTop="1" x14ac:dyDescent="0.3">
      <c r="A30" s="37"/>
      <c r="B30" s="22" t="s">
        <v>77</v>
      </c>
      <c r="H30" s="41"/>
      <c r="I30" s="42"/>
      <c r="K30" s="109" t="s">
        <v>78</v>
      </c>
      <c r="L30" s="17" t="s">
        <v>79</v>
      </c>
      <c r="M30" s="110" t="s">
        <v>80</v>
      </c>
    </row>
    <row r="31" spans="1:14" ht="15" customHeight="1" x14ac:dyDescent="0.25">
      <c r="A31" s="37"/>
      <c r="B31" s="111"/>
      <c r="C31" s="112" t="s">
        <v>81</v>
      </c>
      <c r="D31" s="38"/>
      <c r="E31" s="38"/>
      <c r="F31" s="63"/>
      <c r="G31" s="67">
        <f>+L33</f>
        <v>7080</v>
      </c>
      <c r="H31" s="41"/>
      <c r="I31" s="42"/>
    </row>
    <row r="32" spans="1:14" ht="15" customHeight="1" x14ac:dyDescent="0.25">
      <c r="A32" s="37"/>
      <c r="B32" s="113">
        <v>42528</v>
      </c>
      <c r="C32" s="112" t="s">
        <v>82</v>
      </c>
      <c r="D32" s="38"/>
      <c r="E32" s="38" t="s">
        <v>83</v>
      </c>
      <c r="F32" s="63" t="s">
        <v>84</v>
      </c>
      <c r="G32" s="67">
        <f>ROUND(190000*0.1023,0)</f>
        <v>19437</v>
      </c>
      <c r="H32" s="41"/>
      <c r="I32" s="42"/>
    </row>
    <row r="33" spans="1:13" ht="15" customHeight="1" x14ac:dyDescent="0.25">
      <c r="A33" s="37"/>
      <c r="B33" s="113">
        <v>43997</v>
      </c>
      <c r="C33" s="114" t="s">
        <v>85</v>
      </c>
      <c r="D33" s="38"/>
      <c r="E33" s="38"/>
      <c r="F33" s="63"/>
      <c r="G33" s="115">
        <f>+L34</f>
        <v>70000</v>
      </c>
      <c r="H33" s="41">
        <f>G31+G33+G32</f>
        <v>96517</v>
      </c>
      <c r="I33" s="42"/>
      <c r="K33" s="18" t="s">
        <v>81</v>
      </c>
      <c r="L33" s="18">
        <v>7080</v>
      </c>
    </row>
    <row r="34" spans="1:13" ht="15" customHeight="1" x14ac:dyDescent="0.25">
      <c r="A34" s="37"/>
      <c r="B34" s="111"/>
      <c r="G34" s="53"/>
      <c r="H34" s="41"/>
      <c r="I34" s="116"/>
      <c r="K34" s="18" t="s">
        <v>86</v>
      </c>
      <c r="L34" s="18">
        <v>70000</v>
      </c>
      <c r="M34" s="93">
        <v>43997</v>
      </c>
    </row>
    <row r="35" spans="1:13" ht="15" customHeight="1" x14ac:dyDescent="0.25">
      <c r="A35" s="37"/>
      <c r="B35" s="22" t="s">
        <v>87</v>
      </c>
      <c r="E35" s="17"/>
      <c r="F35" s="17"/>
      <c r="G35" s="57"/>
      <c r="H35" s="117">
        <f>SUM(H5:H34)</f>
        <v>12228433</v>
      </c>
      <c r="I35" s="118"/>
    </row>
    <row r="36" spans="1:13" ht="15" customHeight="1" x14ac:dyDescent="0.25">
      <c r="A36" s="37"/>
      <c r="B36" s="119" t="s">
        <v>88</v>
      </c>
      <c r="H36" s="41"/>
      <c r="I36" s="42"/>
      <c r="K36" s="120" t="s">
        <v>89</v>
      </c>
      <c r="L36" s="120">
        <v>80000</v>
      </c>
    </row>
    <row r="37" spans="1:13" ht="15" customHeight="1" x14ac:dyDescent="0.25">
      <c r="A37" s="37"/>
      <c r="B37" s="66">
        <f>F37+F38+F39+F40</f>
        <v>211437</v>
      </c>
      <c r="C37" s="64" t="s">
        <v>90</v>
      </c>
      <c r="D37" s="18" t="str">
        <f>+K36</f>
        <v>Recognised Prov Fund</v>
      </c>
      <c r="F37" s="67">
        <f>+L36</f>
        <v>80000</v>
      </c>
      <c r="H37" s="41"/>
      <c r="I37" s="42"/>
      <c r="K37" s="120" t="s">
        <v>91</v>
      </c>
      <c r="L37" s="120">
        <v>20000</v>
      </c>
    </row>
    <row r="38" spans="1:13" ht="15" customHeight="1" x14ac:dyDescent="0.25">
      <c r="A38" s="37"/>
      <c r="B38" s="121"/>
      <c r="C38" s="122" t="s">
        <v>92</v>
      </c>
      <c r="D38" s="18" t="str">
        <f>+K37</f>
        <v>Public Prov Fund</v>
      </c>
      <c r="F38" s="67">
        <f>+L37</f>
        <v>20000</v>
      </c>
      <c r="H38" s="41"/>
      <c r="I38" s="42"/>
      <c r="K38" s="120" t="s">
        <v>93</v>
      </c>
      <c r="L38" s="120">
        <v>92000</v>
      </c>
    </row>
    <row r="39" spans="1:13" ht="15" customHeight="1" x14ac:dyDescent="0.25">
      <c r="A39" s="37"/>
      <c r="B39" s="121"/>
      <c r="C39" s="122"/>
      <c r="D39" s="18" t="str">
        <f>+C32</f>
        <v xml:space="preserve">Accrued Intt on NSCs </v>
      </c>
      <c r="F39" s="67">
        <f>+G32</f>
        <v>19437</v>
      </c>
      <c r="H39" s="41"/>
      <c r="I39" s="42"/>
      <c r="K39" s="120" t="s">
        <v>94</v>
      </c>
      <c r="L39" s="18">
        <v>190000</v>
      </c>
      <c r="M39" s="123">
        <v>0.1023</v>
      </c>
    </row>
    <row r="40" spans="1:13" ht="15" customHeight="1" x14ac:dyDescent="0.25">
      <c r="A40" s="37"/>
      <c r="B40" s="121"/>
      <c r="C40" s="124"/>
      <c r="D40" s="18" t="s">
        <v>95</v>
      </c>
      <c r="F40" s="125">
        <f>+L38</f>
        <v>92000</v>
      </c>
      <c r="G40" s="67">
        <v>150000</v>
      </c>
      <c r="H40" s="41"/>
      <c r="I40" s="42"/>
    </row>
    <row r="41" spans="1:13" ht="15" customHeight="1" x14ac:dyDescent="0.25">
      <c r="A41" s="37"/>
      <c r="C41" s="64" t="s">
        <v>96</v>
      </c>
      <c r="D41" s="63" t="s">
        <v>97</v>
      </c>
      <c r="E41" s="17"/>
      <c r="F41" s="17"/>
      <c r="G41" s="70">
        <f>+G31</f>
        <v>7080</v>
      </c>
      <c r="H41" s="41">
        <f>SUM(G40:G41)</f>
        <v>157080</v>
      </c>
      <c r="I41" s="42"/>
      <c r="K41" s="126"/>
    </row>
    <row r="42" spans="1:13" ht="15" customHeight="1" thickBot="1" x14ac:dyDescent="0.3">
      <c r="A42" s="37"/>
      <c r="B42" s="127" t="s">
        <v>98</v>
      </c>
      <c r="E42" s="128">
        <f>IF((H35-H41)&lt;0,0,(H35-H41))</f>
        <v>12071353</v>
      </c>
      <c r="F42" s="129" t="s">
        <v>99</v>
      </c>
      <c r="G42" s="130"/>
      <c r="H42" s="131">
        <f>ROUND((E42/10),0)*10</f>
        <v>12071350</v>
      </c>
      <c r="I42" s="132"/>
      <c r="K42" s="133" t="s">
        <v>100</v>
      </c>
    </row>
    <row r="43" spans="1:13" ht="15" customHeight="1" thickTop="1" x14ac:dyDescent="0.25">
      <c r="A43" s="37"/>
      <c r="B43" s="133" t="s">
        <v>101</v>
      </c>
      <c r="E43" s="134" t="s">
        <v>102</v>
      </c>
      <c r="F43" s="135" t="s">
        <v>103</v>
      </c>
      <c r="G43" s="134" t="s">
        <v>104</v>
      </c>
      <c r="H43" s="136"/>
      <c r="I43" s="137"/>
      <c r="K43" s="138" t="s">
        <v>105</v>
      </c>
      <c r="L43" s="139">
        <v>0.05</v>
      </c>
      <c r="M43" s="18">
        <f>250000*5%</f>
        <v>12500</v>
      </c>
    </row>
    <row r="44" spans="1:13" ht="15" customHeight="1" x14ac:dyDescent="0.25">
      <c r="A44" s="37"/>
      <c r="B44" s="140"/>
      <c r="C44" s="63" t="s">
        <v>106</v>
      </c>
      <c r="E44" s="53">
        <f>H42-E47-E46-E45</f>
        <v>5745434</v>
      </c>
      <c r="F44" s="141"/>
      <c r="G44" s="18">
        <f>IF(+I2="Sr",ROUND(IF(E44&gt;1000000,(((E44-1000000)*0.3)+110000),IF(E44&gt;500000,(((E44-500000)*0.2)+10000),IF(E44&gt;300000,((E44-300000)*0.05),0))),0),ROUND(IF(E44&gt;1000000,(((E44-1000000)*0.3)+112500),IF(E44&gt;500000,(((E44-500000)*0.2)+12500),IF(E44&gt;250000,((E44-250000)*0.05),0))),0))</f>
        <v>1536130</v>
      </c>
      <c r="H44" s="136"/>
      <c r="I44" s="137"/>
      <c r="K44" s="138" t="s">
        <v>107</v>
      </c>
      <c r="L44" s="139">
        <v>0.2</v>
      </c>
      <c r="M44" s="18">
        <f>500000*20%</f>
        <v>100000</v>
      </c>
    </row>
    <row r="45" spans="1:13" ht="15" customHeight="1" x14ac:dyDescent="0.25">
      <c r="A45" s="37" t="s">
        <v>108</v>
      </c>
      <c r="B45" s="142" t="s">
        <v>109</v>
      </c>
      <c r="C45" s="63" t="s">
        <v>110</v>
      </c>
      <c r="E45" s="143">
        <f>+G22</f>
        <v>790000</v>
      </c>
      <c r="F45" s="144">
        <v>0.1</v>
      </c>
      <c r="G45" s="18">
        <f>ROUND(E45*F45,0)</f>
        <v>79000</v>
      </c>
      <c r="H45" s="136"/>
      <c r="I45" s="137"/>
      <c r="K45" s="138" t="s">
        <v>111</v>
      </c>
      <c r="L45" s="139">
        <v>0.3</v>
      </c>
      <c r="M45" s="18">
        <f>ROUND((E44-1000000)*30%,0)</f>
        <v>1423630</v>
      </c>
    </row>
    <row r="46" spans="1:13" ht="15" customHeight="1" thickBot="1" x14ac:dyDescent="0.3">
      <c r="A46" s="37" t="s">
        <v>112</v>
      </c>
      <c r="B46" s="142" t="s">
        <v>109</v>
      </c>
      <c r="C46" s="63" t="s">
        <v>110</v>
      </c>
      <c r="E46" s="143">
        <f>+G29</f>
        <v>5465916</v>
      </c>
      <c r="F46" s="145">
        <v>0.2</v>
      </c>
      <c r="G46" s="18">
        <f>ROUND(E46*F46,0)</f>
        <v>1093183</v>
      </c>
      <c r="H46" s="136"/>
      <c r="I46" s="137"/>
      <c r="M46" s="146">
        <f>SUM(M43:M45)</f>
        <v>1536130</v>
      </c>
    </row>
    <row r="47" spans="1:13" ht="15" customHeight="1" thickTop="1" x14ac:dyDescent="0.25">
      <c r="A47" s="37"/>
      <c r="B47" s="142" t="s">
        <v>113</v>
      </c>
      <c r="C47" s="63" t="s">
        <v>110</v>
      </c>
      <c r="E47" s="143">
        <f>+G33</f>
        <v>70000</v>
      </c>
      <c r="F47" s="144">
        <v>0.3</v>
      </c>
      <c r="G47" s="95">
        <f>ROUND(E47*F47,0)</f>
        <v>21000</v>
      </c>
      <c r="H47" s="147"/>
      <c r="I47" s="148"/>
    </row>
    <row r="48" spans="1:13" ht="15" customHeight="1" x14ac:dyDescent="0.25">
      <c r="A48" s="37"/>
      <c r="D48" s="141"/>
      <c r="E48" s="17"/>
      <c r="G48" s="35">
        <f>SUM(G44:G47)</f>
        <v>2729313</v>
      </c>
      <c r="H48" s="149"/>
      <c r="I48" s="150"/>
      <c r="K48" s="151" t="s">
        <v>114</v>
      </c>
      <c r="L48" s="152" t="s">
        <v>115</v>
      </c>
    </row>
    <row r="49" spans="1:14" ht="15" customHeight="1" x14ac:dyDescent="0.25">
      <c r="A49" s="37"/>
      <c r="B49" s="63" t="s">
        <v>116</v>
      </c>
      <c r="C49" s="63" t="s">
        <v>117</v>
      </c>
      <c r="D49" s="141"/>
      <c r="E49" s="17"/>
      <c r="G49" s="153"/>
      <c r="H49" s="154">
        <f>G48-G49</f>
        <v>2729313</v>
      </c>
      <c r="I49" s="155"/>
      <c r="K49" s="156" t="s">
        <v>118</v>
      </c>
      <c r="L49" s="157">
        <v>300000</v>
      </c>
    </row>
    <row r="50" spans="1:14" ht="15" customHeight="1" x14ac:dyDescent="0.25">
      <c r="A50" s="37"/>
      <c r="B50" s="18" t="s">
        <v>119</v>
      </c>
      <c r="C50" s="63"/>
      <c r="D50" s="141"/>
      <c r="E50" s="17"/>
      <c r="G50" s="158">
        <v>0.15</v>
      </c>
      <c r="H50" s="159">
        <f>IF(H42&gt;10000000,H49*15%,IF(H42&gt;5000000,H49*10%,0))</f>
        <v>409396.95</v>
      </c>
      <c r="I50" s="160"/>
      <c r="K50" s="156" t="s">
        <v>120</v>
      </c>
      <c r="L50" s="157">
        <v>409000</v>
      </c>
    </row>
    <row r="51" spans="1:14" ht="15" customHeight="1" x14ac:dyDescent="0.25">
      <c r="A51" s="37"/>
      <c r="C51" s="63"/>
      <c r="D51" s="141"/>
      <c r="E51" s="17"/>
      <c r="G51" s="35"/>
      <c r="H51" s="154">
        <f>H49+H50</f>
        <v>3138709.95</v>
      </c>
      <c r="I51" s="155"/>
      <c r="K51" s="156" t="s">
        <v>121</v>
      </c>
      <c r="L51" s="157">
        <v>900000</v>
      </c>
    </row>
    <row r="52" spans="1:14" ht="15" customHeight="1" x14ac:dyDescent="0.25">
      <c r="A52" s="37"/>
      <c r="B52" s="63" t="s">
        <v>122</v>
      </c>
      <c r="D52" s="141"/>
      <c r="E52" s="17"/>
      <c r="G52" s="158">
        <v>0.04</v>
      </c>
      <c r="H52" s="159">
        <f>ROUND((H51)*0.04,0)</f>
        <v>125548</v>
      </c>
      <c r="I52" s="160"/>
      <c r="K52" s="156" t="s">
        <v>123</v>
      </c>
      <c r="L52" s="157">
        <v>72500</v>
      </c>
    </row>
    <row r="53" spans="1:14" ht="15" customHeight="1" x14ac:dyDescent="0.25">
      <c r="A53" s="37"/>
      <c r="B53" s="133" t="s">
        <v>124</v>
      </c>
      <c r="D53" s="141"/>
      <c r="E53" s="129"/>
      <c r="G53" s="17"/>
      <c r="H53" s="149">
        <f>SUM(H51:H52)</f>
        <v>3264257.95</v>
      </c>
      <c r="I53" s="150"/>
      <c r="J53" s="161"/>
      <c r="K53" s="162" t="s">
        <v>125</v>
      </c>
      <c r="L53" s="163">
        <f>SUM(L49:L52)</f>
        <v>1681500</v>
      </c>
    </row>
    <row r="54" spans="1:14" ht="15" customHeight="1" x14ac:dyDescent="0.3">
      <c r="A54" s="37"/>
      <c r="B54" s="63" t="s">
        <v>126</v>
      </c>
      <c r="D54" s="141"/>
      <c r="E54" s="164" t="s">
        <v>127</v>
      </c>
      <c r="G54" s="165"/>
      <c r="H54" s="149">
        <f>+H93</f>
        <v>276740</v>
      </c>
      <c r="I54" s="150"/>
      <c r="J54" s="161"/>
    </row>
    <row r="55" spans="1:14" ht="15" customHeight="1" x14ac:dyDescent="0.25">
      <c r="A55" s="37"/>
      <c r="B55" s="63" t="s">
        <v>128</v>
      </c>
      <c r="C55" s="17"/>
      <c r="D55" s="17"/>
      <c r="E55" s="17"/>
      <c r="G55" s="165" t="s">
        <v>129</v>
      </c>
      <c r="H55" s="166"/>
      <c r="I55" s="167"/>
      <c r="J55" s="161"/>
      <c r="K55" s="168" t="s">
        <v>130</v>
      </c>
      <c r="L55" s="169"/>
      <c r="M55" s="169"/>
    </row>
    <row r="56" spans="1:14" ht="15" customHeight="1" x14ac:dyDescent="0.25">
      <c r="A56" s="37"/>
      <c r="B56" s="133" t="s">
        <v>131</v>
      </c>
      <c r="C56" s="17"/>
      <c r="D56" s="17"/>
      <c r="E56" s="17"/>
      <c r="F56" s="17"/>
      <c r="G56" s="17"/>
      <c r="H56" s="41">
        <f>H53+H55+H54</f>
        <v>3540997.95</v>
      </c>
      <c r="I56" s="42"/>
      <c r="J56" s="63"/>
      <c r="K56" s="169" t="s">
        <v>132</v>
      </c>
      <c r="L56" s="169"/>
      <c r="M56" s="170">
        <f>+G7-50000</f>
        <v>5485000</v>
      </c>
    </row>
    <row r="57" spans="1:14" ht="15" customHeight="1" x14ac:dyDescent="0.25">
      <c r="A57" s="37"/>
      <c r="B57" s="22" t="s">
        <v>133</v>
      </c>
      <c r="C57" s="17"/>
      <c r="D57" s="17"/>
      <c r="E57" s="17"/>
      <c r="F57" s="17"/>
      <c r="G57" s="17"/>
      <c r="H57" s="41"/>
      <c r="I57" s="42"/>
      <c r="K57" s="171" t="s">
        <v>134</v>
      </c>
      <c r="L57" s="169"/>
      <c r="M57" s="172">
        <v>150000</v>
      </c>
    </row>
    <row r="58" spans="1:14" ht="15" customHeight="1" x14ac:dyDescent="0.3">
      <c r="A58" s="37"/>
      <c r="B58" s="173">
        <v>44276</v>
      </c>
      <c r="C58" s="174" t="s">
        <v>135</v>
      </c>
      <c r="D58" s="174"/>
      <c r="E58" s="175"/>
      <c r="F58" s="175"/>
      <c r="G58" s="176">
        <v>20000</v>
      </c>
      <c r="H58" s="41"/>
      <c r="I58" s="42"/>
      <c r="K58" s="169"/>
      <c r="L58" s="169"/>
      <c r="M58" s="177">
        <f>M56-M57</f>
        <v>5335000</v>
      </c>
    </row>
    <row r="59" spans="1:14" ht="15" customHeight="1" x14ac:dyDescent="0.3">
      <c r="A59" s="37"/>
      <c r="B59" s="173"/>
      <c r="C59" s="174" t="s">
        <v>136</v>
      </c>
      <c r="D59" s="174"/>
      <c r="E59" s="175"/>
      <c r="F59" s="175"/>
      <c r="G59" s="176">
        <v>1616500</v>
      </c>
      <c r="H59" s="41"/>
      <c r="I59" s="42"/>
      <c r="K59" s="178" t="s">
        <v>137</v>
      </c>
      <c r="L59" s="169"/>
      <c r="M59" s="169">
        <f>112500+(M58-1000000)*0.3</f>
        <v>1413000</v>
      </c>
    </row>
    <row r="60" spans="1:14" ht="15" customHeight="1" x14ac:dyDescent="0.3">
      <c r="A60" s="37"/>
      <c r="C60" s="174" t="s">
        <v>138</v>
      </c>
      <c r="D60" s="174"/>
      <c r="E60" s="175"/>
      <c r="F60" s="175"/>
      <c r="G60" s="176">
        <v>8000</v>
      </c>
      <c r="H60" s="41"/>
      <c r="I60" s="42"/>
      <c r="K60" s="178" t="s">
        <v>139</v>
      </c>
      <c r="L60" s="179"/>
      <c r="M60" s="169">
        <f>M59/10</f>
        <v>141300</v>
      </c>
      <c r="N60" s="180"/>
    </row>
    <row r="61" spans="1:14" ht="15" customHeight="1" x14ac:dyDescent="0.3">
      <c r="A61" s="181"/>
      <c r="B61" s="182">
        <v>44287</v>
      </c>
      <c r="C61" s="183" t="s">
        <v>140</v>
      </c>
      <c r="D61" s="183"/>
      <c r="E61" s="183"/>
      <c r="F61" s="183"/>
      <c r="G61" s="176">
        <v>86000</v>
      </c>
      <c r="H61" s="41">
        <f>SUM(G58:G61)</f>
        <v>1730500</v>
      </c>
      <c r="I61" s="42"/>
      <c r="K61" s="178" t="s">
        <v>141</v>
      </c>
      <c r="L61" s="179">
        <v>0.04</v>
      </c>
      <c r="M61" s="169">
        <f>ROUND((M60+M59)*0.04,0)</f>
        <v>62172</v>
      </c>
    </row>
    <row r="62" spans="1:14" ht="15" customHeight="1" thickBot="1" x14ac:dyDescent="0.3">
      <c r="A62" s="184"/>
      <c r="B62" s="185" t="str">
        <f>IF(H62=0,"TAX  PAYABLE / REFUND ",IF(H62&lt;0,"REFUND","TAX  PAYABLE including Interest"))</f>
        <v>TAX  PAYABLE including Interest</v>
      </c>
      <c r="C62" s="185"/>
      <c r="D62" s="185"/>
      <c r="E62" s="185"/>
      <c r="F62" s="186" t="s">
        <v>142</v>
      </c>
      <c r="G62" s="187"/>
      <c r="H62" s="188">
        <f>ROUND((H56-H61)/10,0)*10</f>
        <v>1810500</v>
      </c>
      <c r="I62" s="189"/>
      <c r="K62" s="169"/>
      <c r="L62" s="169"/>
      <c r="M62" s="190">
        <f>SUM(M59:M61)</f>
        <v>1616472</v>
      </c>
    </row>
    <row r="63" spans="1:14" ht="15" customHeight="1" x14ac:dyDescent="0.25">
      <c r="A63" s="191" t="s">
        <v>143</v>
      </c>
      <c r="B63" s="192"/>
      <c r="C63" s="192"/>
      <c r="D63" s="192"/>
      <c r="E63" s="192"/>
      <c r="F63" s="192"/>
      <c r="G63" s="192"/>
      <c r="H63" s="192"/>
      <c r="I63" s="193"/>
      <c r="L63" s="17" t="s">
        <v>144</v>
      </c>
      <c r="M63" s="53">
        <f>+G59</f>
        <v>1616500</v>
      </c>
    </row>
    <row r="64" spans="1:14" ht="15" customHeight="1" thickBot="1" x14ac:dyDescent="0.3">
      <c r="A64" s="194">
        <v>44518</v>
      </c>
      <c r="B64" s="195"/>
      <c r="C64" s="196" t="s">
        <v>145</v>
      </c>
      <c r="D64" s="197"/>
      <c r="E64" s="198" t="s">
        <v>146</v>
      </c>
      <c r="F64" s="199" t="s">
        <v>147</v>
      </c>
      <c r="G64" s="199"/>
      <c r="H64" s="199"/>
      <c r="I64" s="200"/>
    </row>
    <row r="66" spans="1:8" ht="15" customHeight="1" x14ac:dyDescent="0.25">
      <c r="A66" s="140"/>
      <c r="C66" s="201"/>
      <c r="F66" s="202" t="s">
        <v>148</v>
      </c>
      <c r="G66" s="203"/>
      <c r="H66" s="203"/>
    </row>
    <row r="67" spans="1:8" ht="15" customHeight="1" x14ac:dyDescent="0.25">
      <c r="A67" s="140"/>
      <c r="C67" s="204"/>
      <c r="F67" s="112" t="s">
        <v>149</v>
      </c>
      <c r="G67" s="112"/>
      <c r="H67" s="205">
        <f>+G10</f>
        <v>5715000</v>
      </c>
    </row>
    <row r="68" spans="1:8" ht="15" customHeight="1" x14ac:dyDescent="0.25">
      <c r="A68" s="140"/>
      <c r="C68" s="206"/>
      <c r="F68" s="69" t="s">
        <v>150</v>
      </c>
      <c r="G68" s="69"/>
      <c r="H68" s="53">
        <f>+H17</f>
        <v>211000</v>
      </c>
    </row>
    <row r="69" spans="1:8" ht="15" customHeight="1" x14ac:dyDescent="0.25">
      <c r="A69" s="140"/>
      <c r="C69" s="207"/>
      <c r="F69" s="69" t="s">
        <v>151</v>
      </c>
      <c r="G69" s="69"/>
      <c r="H69" s="53">
        <f>+H29</f>
        <v>6255916</v>
      </c>
    </row>
    <row r="70" spans="1:8" ht="15" customHeight="1" x14ac:dyDescent="0.25">
      <c r="A70" s="140"/>
      <c r="F70" s="73" t="s">
        <v>152</v>
      </c>
      <c r="G70" s="73"/>
      <c r="H70" s="208">
        <f>+H33</f>
        <v>96517</v>
      </c>
    </row>
    <row r="71" spans="1:8" ht="15" customHeight="1" thickBot="1" x14ac:dyDescent="0.3">
      <c r="A71" s="140"/>
      <c r="F71" s="209"/>
      <c r="G71" s="210" t="s">
        <v>153</v>
      </c>
      <c r="H71" s="211">
        <f>SUM(H67:H70)</f>
        <v>12278433</v>
      </c>
    </row>
    <row r="72" spans="1:8" ht="15" customHeight="1" thickTop="1" x14ac:dyDescent="0.25">
      <c r="A72" s="18"/>
    </row>
    <row r="73" spans="1:8" ht="15" customHeight="1" x14ac:dyDescent="0.25">
      <c r="A73" s="18"/>
      <c r="B73" s="17" t="s">
        <v>154</v>
      </c>
      <c r="C73" s="139">
        <v>0.1</v>
      </c>
      <c r="D73" s="139">
        <v>0.2</v>
      </c>
      <c r="E73" s="139">
        <v>0.3</v>
      </c>
      <c r="F73" s="17" t="s">
        <v>155</v>
      </c>
    </row>
    <row r="74" spans="1:8" ht="15" customHeight="1" x14ac:dyDescent="0.25">
      <c r="A74" s="140" t="s">
        <v>156</v>
      </c>
      <c r="B74" s="53">
        <f>H71-(C74+D74+E74)</f>
        <v>5952517</v>
      </c>
      <c r="C74" s="53">
        <f>+G22</f>
        <v>790000</v>
      </c>
      <c r="D74" s="53">
        <f>+G29</f>
        <v>5465916</v>
      </c>
      <c r="E74" s="53">
        <f>+G33</f>
        <v>70000</v>
      </c>
      <c r="F74" s="53">
        <f>B74+C74+D74+E74</f>
        <v>12278433</v>
      </c>
    </row>
    <row r="75" spans="1:8" ht="15" customHeight="1" x14ac:dyDescent="0.25">
      <c r="A75" s="140" t="s">
        <v>157</v>
      </c>
      <c r="B75" s="18">
        <f>ROUND(112500+(B74-1000000)*0.3,0)</f>
        <v>1598255</v>
      </c>
      <c r="C75" s="18">
        <f>ROUND(C74*C73,0)</f>
        <v>79000</v>
      </c>
      <c r="D75" s="18">
        <f>ROUND(D74*D73,0)</f>
        <v>1093183</v>
      </c>
      <c r="E75" s="18">
        <f>ROUND(E74*E73,0)</f>
        <v>21000</v>
      </c>
      <c r="F75" s="53">
        <f>B75+C75+D75+E75</f>
        <v>2791438</v>
      </c>
      <c r="G75" s="39" t="s">
        <v>137</v>
      </c>
    </row>
    <row r="76" spans="1:8" ht="15" customHeight="1" x14ac:dyDescent="0.25">
      <c r="A76" s="140"/>
      <c r="F76" s="73">
        <f>ROUND(F75*0.15,0)</f>
        <v>418716</v>
      </c>
      <c r="G76" s="212" t="s">
        <v>158</v>
      </c>
    </row>
    <row r="77" spans="1:8" ht="15" customHeight="1" x14ac:dyDescent="0.25">
      <c r="A77" s="140"/>
      <c r="F77" s="53">
        <f>F75+F76</f>
        <v>3210154</v>
      </c>
    </row>
    <row r="78" spans="1:8" ht="15" customHeight="1" x14ac:dyDescent="0.25">
      <c r="A78" s="140"/>
      <c r="F78" s="18">
        <f>ROUND(F77*0.04,0)</f>
        <v>128406</v>
      </c>
      <c r="G78" s="39" t="s">
        <v>159</v>
      </c>
    </row>
    <row r="79" spans="1:8" ht="15" customHeight="1" thickBot="1" x14ac:dyDescent="0.3">
      <c r="A79" s="140"/>
      <c r="F79" s="211">
        <f>SUM(F77:F78)</f>
        <v>3338560</v>
      </c>
      <c r="G79" s="213" t="s">
        <v>160</v>
      </c>
    </row>
    <row r="80" spans="1:8" ht="15" customHeight="1" thickTop="1" x14ac:dyDescent="0.25">
      <c r="A80" s="140"/>
      <c r="E80" s="214" t="s">
        <v>148</v>
      </c>
      <c r="F80" s="215"/>
      <c r="G80" s="216"/>
      <c r="H80" s="59"/>
    </row>
    <row r="81" spans="1:14" ht="15" customHeight="1" x14ac:dyDescent="0.25">
      <c r="A81" s="140"/>
      <c r="E81" s="217" t="s">
        <v>161</v>
      </c>
      <c r="F81" s="218"/>
      <c r="G81" s="219" t="s">
        <v>162</v>
      </c>
      <c r="H81" s="59"/>
    </row>
    <row r="82" spans="1:14" ht="15" customHeight="1" x14ac:dyDescent="0.25">
      <c r="A82" s="140"/>
      <c r="E82" s="217" t="s">
        <v>163</v>
      </c>
      <c r="F82" s="218"/>
      <c r="G82" s="220">
        <v>0.05</v>
      </c>
    </row>
    <row r="83" spans="1:14" ht="15" customHeight="1" x14ac:dyDescent="0.25">
      <c r="A83" s="140"/>
      <c r="E83" s="217" t="s">
        <v>164</v>
      </c>
      <c r="F83" s="218"/>
      <c r="G83" s="220">
        <v>0.1</v>
      </c>
    </row>
    <row r="84" spans="1:14" ht="15" customHeight="1" x14ac:dyDescent="0.25">
      <c r="A84" s="140"/>
      <c r="E84" s="217" t="s">
        <v>165</v>
      </c>
      <c r="F84" s="218"/>
      <c r="G84" s="220">
        <v>0.15</v>
      </c>
    </row>
    <row r="85" spans="1:14" ht="15" customHeight="1" x14ac:dyDescent="0.25">
      <c r="A85" s="140"/>
      <c r="E85" s="217" t="s">
        <v>166</v>
      </c>
      <c r="F85" s="218"/>
      <c r="G85" s="220">
        <v>0.2</v>
      </c>
    </row>
    <row r="86" spans="1:14" ht="15" customHeight="1" x14ac:dyDescent="0.25">
      <c r="A86" s="140"/>
      <c r="E86" s="217" t="s">
        <v>167</v>
      </c>
      <c r="F86" s="218"/>
      <c r="G86" s="220">
        <v>0.25</v>
      </c>
    </row>
    <row r="87" spans="1:14" ht="15" customHeight="1" x14ac:dyDescent="0.25">
      <c r="A87" s="140"/>
      <c r="E87" s="217" t="s">
        <v>168</v>
      </c>
      <c r="F87" s="218"/>
      <c r="G87" s="220">
        <v>0.3</v>
      </c>
    </row>
    <row r="88" spans="1:14" ht="15" customHeight="1" x14ac:dyDescent="0.25">
      <c r="A88" s="140"/>
      <c r="B88" s="221" t="s">
        <v>169</v>
      </c>
      <c r="C88" s="222" t="s">
        <v>170</v>
      </c>
      <c r="E88" s="223" t="s">
        <v>171</v>
      </c>
      <c r="F88" s="224"/>
      <c r="G88" s="225"/>
    </row>
    <row r="89" spans="1:14" ht="15" customHeight="1" x14ac:dyDescent="0.25">
      <c r="A89" s="140"/>
      <c r="B89" s="221" t="s">
        <v>172</v>
      </c>
      <c r="C89" s="226" t="s">
        <v>173</v>
      </c>
      <c r="E89" s="227" t="s">
        <v>174</v>
      </c>
      <c r="F89" s="228"/>
      <c r="G89" s="229"/>
    </row>
    <row r="90" spans="1:14" ht="15" customHeight="1" x14ac:dyDescent="0.25">
      <c r="A90" s="140"/>
      <c r="B90" s="230" t="s">
        <v>175</v>
      </c>
      <c r="C90" s="226" t="s">
        <v>176</v>
      </c>
      <c r="E90" s="231" t="s">
        <v>177</v>
      </c>
      <c r="F90" s="232"/>
      <c r="G90" s="233"/>
    </row>
    <row r="91" spans="1:14" ht="15" customHeight="1" thickBot="1" x14ac:dyDescent="0.3">
      <c r="A91" s="140"/>
      <c r="B91" s="230" t="s">
        <v>178</v>
      </c>
      <c r="C91" s="226" t="s">
        <v>179</v>
      </c>
      <c r="E91" s="234" t="s">
        <v>180</v>
      </c>
      <c r="F91" s="235"/>
      <c r="G91" s="236"/>
    </row>
    <row r="92" spans="1:14" ht="15" customHeight="1" x14ac:dyDescent="0.25">
      <c r="A92" s="140"/>
    </row>
    <row r="93" spans="1:14" ht="15" customHeight="1" x14ac:dyDescent="0.25">
      <c r="A93" s="140"/>
      <c r="B93" s="237" t="s">
        <v>181</v>
      </c>
      <c r="C93" s="238"/>
      <c r="D93" s="238"/>
      <c r="E93" s="238"/>
      <c r="F93" s="238"/>
      <c r="G93" s="239" t="s">
        <v>182</v>
      </c>
      <c r="H93" s="240">
        <f>+H105+H117+H127</f>
        <v>276740</v>
      </c>
      <c r="K93" s="35" t="s">
        <v>183</v>
      </c>
      <c r="L93" s="241">
        <v>0.1</v>
      </c>
      <c r="N93" s="242"/>
    </row>
    <row r="94" spans="1:14" ht="15" customHeight="1" x14ac:dyDescent="0.25">
      <c r="A94" s="140"/>
      <c r="B94" s="243" t="s">
        <v>184</v>
      </c>
      <c r="C94" s="244"/>
      <c r="D94" s="244"/>
      <c r="E94" s="244"/>
      <c r="F94" s="244"/>
      <c r="G94" s="245"/>
      <c r="H94" s="246"/>
      <c r="K94" s="35" t="s">
        <v>185</v>
      </c>
      <c r="L94" s="241">
        <v>0.115</v>
      </c>
      <c r="M94" s="53"/>
      <c r="N94" s="242"/>
    </row>
    <row r="95" spans="1:14" ht="15" customHeight="1" x14ac:dyDescent="0.25">
      <c r="A95" s="140"/>
      <c r="B95" s="247" t="s">
        <v>186</v>
      </c>
      <c r="C95" s="244"/>
      <c r="D95" s="244"/>
      <c r="E95" s="53">
        <f>H95-(790000*11.96%)</f>
        <v>3169774</v>
      </c>
      <c r="G95" s="248"/>
      <c r="H95" s="53">
        <f>ROUND(+H53,0)</f>
        <v>3264258</v>
      </c>
      <c r="K95" s="35" t="s">
        <v>187</v>
      </c>
      <c r="L95" s="241">
        <f>11.5%*1.04</f>
        <v>0.11960000000000001</v>
      </c>
    </row>
    <row r="96" spans="1:14" ht="15" customHeight="1" x14ac:dyDescent="0.25">
      <c r="A96" s="140"/>
      <c r="B96" s="247" t="s">
        <v>188</v>
      </c>
      <c r="C96" s="244"/>
      <c r="D96" s="244"/>
      <c r="E96" s="53">
        <f>+H96</f>
        <v>-1624500</v>
      </c>
      <c r="G96" s="248"/>
      <c r="H96" s="53">
        <f>(+G59+G60)*-1</f>
        <v>-1624500</v>
      </c>
    </row>
    <row r="97" spans="1:13" ht="15" customHeight="1" thickBot="1" x14ac:dyDescent="0.3">
      <c r="A97" s="140"/>
      <c r="B97" s="247" t="s">
        <v>189</v>
      </c>
      <c r="C97" s="244"/>
      <c r="D97" s="244"/>
      <c r="E97" s="211">
        <f>SUM(E95:E96)</f>
        <v>1545274</v>
      </c>
      <c r="G97" s="248"/>
      <c r="H97" s="209">
        <f>SUM(H95:H96)</f>
        <v>1639758</v>
      </c>
    </row>
    <row r="98" spans="1:13" ht="15" customHeight="1" thickTop="1" x14ac:dyDescent="0.25">
      <c r="A98" s="140"/>
      <c r="C98" s="244"/>
      <c r="D98" s="244"/>
      <c r="E98" s="53">
        <f>+E97</f>
        <v>1545274</v>
      </c>
      <c r="G98" s="249">
        <f>IF(G97&gt;10000,G97,0)</f>
        <v>0</v>
      </c>
      <c r="H98" s="18">
        <f>+H97</f>
        <v>1639758</v>
      </c>
    </row>
    <row r="99" spans="1:13" ht="19.8" customHeight="1" x14ac:dyDescent="0.25">
      <c r="A99" s="140"/>
      <c r="B99" s="250" t="s">
        <v>190</v>
      </c>
      <c r="C99" s="251" t="s">
        <v>191</v>
      </c>
      <c r="D99" s="251" t="s">
        <v>192</v>
      </c>
      <c r="E99" s="251" t="s">
        <v>193</v>
      </c>
      <c r="F99" s="252" t="s">
        <v>194</v>
      </c>
      <c r="G99" s="253" t="s">
        <v>195</v>
      </c>
      <c r="H99" s="251" t="s">
        <v>196</v>
      </c>
    </row>
    <row r="100" spans="1:13" ht="15" customHeight="1" x14ac:dyDescent="0.25">
      <c r="A100" s="254">
        <v>1</v>
      </c>
      <c r="B100" s="255"/>
      <c r="C100" s="256"/>
      <c r="D100" s="255">
        <v>43997</v>
      </c>
      <c r="E100" s="248">
        <f>(E98*0.15)</f>
        <v>231791.1</v>
      </c>
      <c r="F100" s="248">
        <f>ROUNDDOWN(+E100,-2)</f>
        <v>231700</v>
      </c>
      <c r="G100" s="248">
        <f>(F100-C100)</f>
        <v>231700</v>
      </c>
      <c r="H100" s="257">
        <f>IF(G100&gt;0,G100*0.12/12*3,0)</f>
        <v>6951</v>
      </c>
      <c r="I100" s="258" t="s">
        <v>197</v>
      </c>
      <c r="J100" s="258"/>
      <c r="K100" s="259" t="s">
        <v>198</v>
      </c>
      <c r="M100" s="53"/>
    </row>
    <row r="101" spans="1:13" ht="15" customHeight="1" x14ac:dyDescent="0.25">
      <c r="A101" s="254">
        <v>2</v>
      </c>
      <c r="C101" s="256">
        <f>+G66</f>
        <v>0</v>
      </c>
      <c r="D101" s="255">
        <v>44089</v>
      </c>
      <c r="E101" s="248">
        <f>H98*0.45</f>
        <v>737891.1</v>
      </c>
      <c r="F101" s="248">
        <f>ROUNDDOWN(+E101,-2)</f>
        <v>737800</v>
      </c>
      <c r="G101" s="248">
        <f>(F101-C101-C100)</f>
        <v>737800</v>
      </c>
      <c r="H101" s="257">
        <f>IF(G101&gt;0,G101*0.12/12*3,0)</f>
        <v>22134</v>
      </c>
      <c r="J101" s="71"/>
      <c r="K101" s="260"/>
      <c r="L101" s="18">
        <f>L99-L100</f>
        <v>0</v>
      </c>
    </row>
    <row r="102" spans="1:13" ht="15" customHeight="1" x14ac:dyDescent="0.25">
      <c r="A102" s="254">
        <v>3</v>
      </c>
      <c r="B102" s="255"/>
      <c r="C102" s="256"/>
      <c r="D102" s="255">
        <v>44180</v>
      </c>
      <c r="E102" s="248">
        <f>H98*0.75</f>
        <v>1229818.5</v>
      </c>
      <c r="F102" s="248">
        <f>ROUNDDOWN(+E102,-2)</f>
        <v>1229800</v>
      </c>
      <c r="G102" s="248">
        <f>(F102-(C100+C101+C102))</f>
        <v>1229800</v>
      </c>
      <c r="H102" s="257">
        <f>IF(G102&gt;0,G102*0.12/12*3,0)</f>
        <v>36894</v>
      </c>
      <c r="J102" s="71" t="s">
        <v>199</v>
      </c>
      <c r="K102" s="260">
        <f>+H105</f>
        <v>82376</v>
      </c>
    </row>
    <row r="103" spans="1:13" ht="15" customHeight="1" x14ac:dyDescent="0.25">
      <c r="A103" s="254">
        <v>4</v>
      </c>
      <c r="B103" s="255"/>
      <c r="C103" s="256"/>
      <c r="D103" s="255">
        <v>44270</v>
      </c>
      <c r="E103" s="248">
        <f>H98*1</f>
        <v>1639758</v>
      </c>
      <c r="F103" s="248">
        <f>ROUNDDOWN(+E103,-2)</f>
        <v>1639700</v>
      </c>
      <c r="G103" s="248">
        <f>(F103-(C100+C101+C102+C103))</f>
        <v>1639700</v>
      </c>
      <c r="H103" s="257">
        <f>IF(G103&gt;0,G103*0.12/12,0)</f>
        <v>16397</v>
      </c>
      <c r="J103" s="71" t="s">
        <v>200</v>
      </c>
      <c r="K103" s="260">
        <f>+K102</f>
        <v>82376</v>
      </c>
      <c r="L103" s="17"/>
    </row>
    <row r="104" spans="1:13" ht="15" customHeight="1" x14ac:dyDescent="0.25">
      <c r="A104" s="254">
        <v>5</v>
      </c>
      <c r="B104" s="255">
        <v>44276</v>
      </c>
      <c r="C104" s="256">
        <f>+G58</f>
        <v>20000</v>
      </c>
      <c r="D104" s="255">
        <v>44286</v>
      </c>
      <c r="F104" s="261"/>
      <c r="G104" s="262"/>
      <c r="H104" s="260"/>
      <c r="M104" s="53"/>
    </row>
    <row r="105" spans="1:13" ht="15" customHeight="1" thickBot="1" x14ac:dyDescent="0.3">
      <c r="A105" s="140"/>
      <c r="B105" s="244"/>
      <c r="C105" s="263">
        <f>SUM(C100:C104)</f>
        <v>20000</v>
      </c>
      <c r="D105" s="244"/>
      <c r="E105" s="244"/>
      <c r="F105" s="244"/>
      <c r="G105" s="244"/>
      <c r="H105" s="264">
        <f>SUM(H100:H104)</f>
        <v>82376</v>
      </c>
      <c r="J105" s="17"/>
    </row>
    <row r="106" spans="1:13" ht="15" customHeight="1" thickTop="1" thickBot="1" x14ac:dyDescent="0.3">
      <c r="A106" s="265"/>
      <c r="B106" s="266"/>
      <c r="C106" s="267"/>
      <c r="D106" s="266"/>
      <c r="E106" s="266"/>
      <c r="F106" s="266"/>
      <c r="G106" s="266"/>
      <c r="H106" s="266"/>
      <c r="J106" s="17"/>
    </row>
    <row r="107" spans="1:13" ht="15" customHeight="1" x14ac:dyDescent="0.25">
      <c r="A107" s="140"/>
      <c r="B107" s="243" t="s">
        <v>201</v>
      </c>
      <c r="C107" s="268"/>
      <c r="D107" s="244"/>
      <c r="E107" s="244"/>
      <c r="F107" s="244"/>
      <c r="G107" s="244"/>
      <c r="H107" s="269" t="s">
        <v>196</v>
      </c>
      <c r="J107" s="17"/>
    </row>
    <row r="108" spans="1:13" ht="15" customHeight="1" x14ac:dyDescent="0.25">
      <c r="A108" s="140"/>
      <c r="B108" s="247" t="s">
        <v>186</v>
      </c>
      <c r="C108" s="244"/>
      <c r="D108" s="244"/>
      <c r="E108" s="248">
        <f>+H95</f>
        <v>3264258</v>
      </c>
      <c r="F108" s="244"/>
      <c r="G108" s="270">
        <v>44287</v>
      </c>
      <c r="H108" s="257">
        <f>F114*0.01</f>
        <v>16197</v>
      </c>
      <c r="J108" s="17"/>
    </row>
    <row r="109" spans="1:13" ht="15" customHeight="1" x14ac:dyDescent="0.25">
      <c r="A109" s="140"/>
      <c r="B109" s="271" t="s">
        <v>188</v>
      </c>
      <c r="C109" s="244"/>
      <c r="D109" s="244"/>
      <c r="E109" s="248">
        <f>+H96</f>
        <v>-1624500</v>
      </c>
      <c r="F109" s="244"/>
      <c r="G109" s="270">
        <v>44317</v>
      </c>
      <c r="H109" s="257">
        <f>F118*0.01</f>
        <v>16197</v>
      </c>
      <c r="J109" s="17"/>
    </row>
    <row r="110" spans="1:13" ht="15" customHeight="1" thickBot="1" x14ac:dyDescent="0.3">
      <c r="A110" s="140"/>
      <c r="B110" s="271"/>
      <c r="C110" s="244"/>
      <c r="D110" s="244"/>
      <c r="E110" s="272">
        <f>E108+E109</f>
        <v>1639758</v>
      </c>
      <c r="G110" s="270">
        <v>44348</v>
      </c>
      <c r="H110" s="257">
        <f t="shared" ref="H110:H115" si="0">+H109</f>
        <v>16197</v>
      </c>
      <c r="J110" s="17"/>
    </row>
    <row r="111" spans="1:13" ht="15" customHeight="1" thickTop="1" x14ac:dyDescent="0.25">
      <c r="A111" s="140"/>
      <c r="F111" s="244"/>
      <c r="G111" s="270">
        <v>44378</v>
      </c>
      <c r="H111" s="257">
        <f t="shared" si="0"/>
        <v>16197</v>
      </c>
      <c r="J111" s="17"/>
    </row>
    <row r="112" spans="1:13" ht="15" customHeight="1" x14ac:dyDescent="0.25">
      <c r="A112" s="140"/>
      <c r="B112" s="244" t="s">
        <v>202</v>
      </c>
      <c r="C112" s="268"/>
      <c r="D112" s="273">
        <v>0.9</v>
      </c>
      <c r="E112" s="274">
        <f>ROUND(E110*90%,0)</f>
        <v>1475782</v>
      </c>
      <c r="F112" s="244"/>
      <c r="G112" s="270">
        <v>44409</v>
      </c>
      <c r="H112" s="257">
        <f t="shared" si="0"/>
        <v>16197</v>
      </c>
      <c r="J112" s="17"/>
    </row>
    <row r="113" spans="1:11" ht="15" customHeight="1" x14ac:dyDescent="0.25">
      <c r="A113" s="140"/>
      <c r="B113" s="244" t="s">
        <v>203</v>
      </c>
      <c r="C113" s="268"/>
      <c r="D113" s="244"/>
      <c r="E113" s="248">
        <f>ROUND(+C105,0)</f>
        <v>20000</v>
      </c>
      <c r="F113" s="244"/>
      <c r="G113" s="270">
        <v>44440</v>
      </c>
      <c r="H113" s="257">
        <f t="shared" si="0"/>
        <v>16197</v>
      </c>
      <c r="I113" s="275" t="s">
        <v>197</v>
      </c>
      <c r="J113" s="275"/>
      <c r="K113" s="276" t="s">
        <v>204</v>
      </c>
    </row>
    <row r="114" spans="1:11" ht="15" customHeight="1" x14ac:dyDescent="0.25">
      <c r="A114" s="140"/>
      <c r="B114" s="18" t="s">
        <v>205</v>
      </c>
      <c r="C114" s="268"/>
      <c r="D114" s="244"/>
      <c r="E114" s="248">
        <f>E110-E113</f>
        <v>1619758</v>
      </c>
      <c r="F114" s="248">
        <f>ROUNDDOWN(E114,-2)</f>
        <v>1619700</v>
      </c>
      <c r="G114" s="270">
        <v>44470</v>
      </c>
      <c r="H114" s="257">
        <f t="shared" si="0"/>
        <v>16197</v>
      </c>
      <c r="J114" s="30"/>
      <c r="K114" s="277"/>
    </row>
    <row r="115" spans="1:11" ht="15" customHeight="1" x14ac:dyDescent="0.25">
      <c r="A115" s="140"/>
      <c r="B115" s="140"/>
      <c r="C115" s="244" t="s">
        <v>206</v>
      </c>
      <c r="D115" s="244"/>
      <c r="E115" s="278">
        <f>+G61</f>
        <v>86000</v>
      </c>
      <c r="F115" s="244"/>
      <c r="G115" s="270">
        <v>44501</v>
      </c>
      <c r="H115" s="257">
        <f t="shared" si="0"/>
        <v>16197</v>
      </c>
      <c r="J115" s="30" t="s">
        <v>199</v>
      </c>
      <c r="K115" s="277">
        <f>F118*0.01*8</f>
        <v>129576</v>
      </c>
    </row>
    <row r="116" spans="1:11" ht="15" customHeight="1" x14ac:dyDescent="0.25">
      <c r="A116" s="140"/>
      <c r="C116" s="38" t="s">
        <v>207</v>
      </c>
      <c r="E116" s="279">
        <v>86000</v>
      </c>
      <c r="F116" s="244"/>
      <c r="G116" s="270">
        <v>44531</v>
      </c>
      <c r="H116" s="280"/>
      <c r="J116" s="30" t="s">
        <v>200</v>
      </c>
      <c r="K116" s="277">
        <f>K115+F118*0.01</f>
        <v>145773</v>
      </c>
    </row>
    <row r="117" spans="1:11" ht="15" customHeight="1" thickBot="1" x14ac:dyDescent="0.3">
      <c r="A117" s="140"/>
      <c r="C117" s="247" t="s">
        <v>208</v>
      </c>
      <c r="E117" s="281">
        <f>+E114</f>
        <v>1619758</v>
      </c>
      <c r="F117" s="244"/>
      <c r="G117" s="244"/>
      <c r="H117" s="264">
        <f>SUM(H108:H116)</f>
        <v>129576</v>
      </c>
      <c r="J117" s="17"/>
    </row>
    <row r="118" spans="1:11" ht="15" customHeight="1" thickTop="1" x14ac:dyDescent="0.25">
      <c r="A118" s="140"/>
      <c r="B118" s="18" t="s">
        <v>209</v>
      </c>
      <c r="C118" s="247"/>
      <c r="E118" s="282">
        <f>+E117</f>
        <v>1619758</v>
      </c>
      <c r="F118" s="248">
        <f>ROUNDDOWN(E118,-2)</f>
        <v>1619700</v>
      </c>
      <c r="G118" s="244"/>
      <c r="H118" s="280"/>
      <c r="J118" s="17"/>
    </row>
    <row r="119" spans="1:11" ht="15" customHeight="1" thickBot="1" x14ac:dyDescent="0.3">
      <c r="A119" s="265"/>
      <c r="B119" s="283"/>
      <c r="C119" s="284"/>
      <c r="D119" s="283"/>
      <c r="E119" s="285"/>
      <c r="F119" s="286"/>
      <c r="G119" s="266"/>
      <c r="H119" s="287"/>
      <c r="J119" s="17"/>
    </row>
    <row r="120" spans="1:11" ht="15" customHeight="1" x14ac:dyDescent="0.25">
      <c r="A120" s="140"/>
      <c r="B120" s="243" t="s">
        <v>210</v>
      </c>
      <c r="C120" s="288"/>
      <c r="D120" s="288"/>
      <c r="E120" s="288"/>
      <c r="F120" s="288"/>
      <c r="G120" s="288"/>
      <c r="H120" s="288"/>
      <c r="I120" s="288"/>
      <c r="J120" s="280"/>
    </row>
    <row r="121" spans="1:11" ht="15" customHeight="1" x14ac:dyDescent="0.25">
      <c r="A121" s="140"/>
      <c r="B121" s="247" t="s">
        <v>186</v>
      </c>
      <c r="C121" s="244"/>
      <c r="D121" s="244"/>
      <c r="E121" s="248">
        <f>+H95</f>
        <v>3264258</v>
      </c>
      <c r="F121" s="288"/>
      <c r="G121" s="244"/>
      <c r="H121" s="269" t="s">
        <v>196</v>
      </c>
      <c r="I121" s="288"/>
      <c r="J121" s="280"/>
    </row>
    <row r="122" spans="1:11" ht="15" customHeight="1" x14ac:dyDescent="0.25">
      <c r="A122" s="140"/>
      <c r="B122" s="271" t="s">
        <v>188</v>
      </c>
      <c r="C122" s="244"/>
      <c r="D122" s="244"/>
      <c r="E122" s="248">
        <f>+H96</f>
        <v>-1624500</v>
      </c>
      <c r="F122" s="288"/>
      <c r="G122" s="270">
        <v>44409</v>
      </c>
      <c r="H122" s="257">
        <f>F128*0.01</f>
        <v>16197</v>
      </c>
      <c r="I122" s="288"/>
      <c r="J122" s="280"/>
    </row>
    <row r="123" spans="1:11" ht="15" customHeight="1" x14ac:dyDescent="0.25">
      <c r="A123" s="140"/>
      <c r="B123" s="271" t="s">
        <v>211</v>
      </c>
      <c r="C123" s="244"/>
      <c r="D123" s="244"/>
      <c r="E123" s="282">
        <f>+G58*-1</f>
        <v>-20000</v>
      </c>
      <c r="F123" s="288"/>
      <c r="G123" s="270">
        <v>44440</v>
      </c>
      <c r="H123" s="257">
        <f>+H122</f>
        <v>16197</v>
      </c>
      <c r="I123" s="289" t="s">
        <v>197</v>
      </c>
      <c r="J123" s="289"/>
      <c r="K123" s="290" t="s">
        <v>212</v>
      </c>
    </row>
    <row r="124" spans="1:11" ht="15" customHeight="1" x14ac:dyDescent="0.25">
      <c r="A124" s="140"/>
      <c r="B124" s="271" t="s">
        <v>213</v>
      </c>
      <c r="C124" s="244"/>
      <c r="D124" s="244"/>
      <c r="E124" s="291"/>
      <c r="F124" s="288"/>
      <c r="G124" s="270">
        <v>44470</v>
      </c>
      <c r="H124" s="257">
        <f>+H123</f>
        <v>16197</v>
      </c>
      <c r="I124" s="288"/>
      <c r="J124" s="292"/>
      <c r="K124" s="293"/>
    </row>
    <row r="125" spans="1:11" ht="15" customHeight="1" x14ac:dyDescent="0.25">
      <c r="A125" s="140"/>
      <c r="B125" s="271"/>
      <c r="C125" s="244"/>
      <c r="D125" s="244"/>
      <c r="E125" s="291"/>
      <c r="F125" s="288"/>
      <c r="G125" s="270">
        <v>44501</v>
      </c>
      <c r="H125" s="257">
        <f>+H124</f>
        <v>16197</v>
      </c>
      <c r="I125" s="288"/>
      <c r="J125" s="292" t="s">
        <v>199</v>
      </c>
      <c r="K125" s="293">
        <f>F128*0.04</f>
        <v>64788</v>
      </c>
    </row>
    <row r="126" spans="1:11" ht="15" customHeight="1" x14ac:dyDescent="0.25">
      <c r="A126" s="140"/>
      <c r="B126" s="271"/>
      <c r="C126" s="244"/>
      <c r="D126" s="244"/>
      <c r="E126" s="53"/>
      <c r="F126" s="288"/>
      <c r="G126" s="270">
        <v>44531</v>
      </c>
      <c r="H126" s="257"/>
      <c r="I126" s="288"/>
      <c r="J126" s="292" t="s">
        <v>200</v>
      </c>
      <c r="K126" s="293">
        <f>F128*0.05</f>
        <v>80985</v>
      </c>
    </row>
    <row r="127" spans="1:11" ht="15" customHeight="1" thickBot="1" x14ac:dyDescent="0.3">
      <c r="A127" s="140"/>
      <c r="E127" s="272">
        <f>SUM(E121:E126)</f>
        <v>1619758</v>
      </c>
      <c r="F127" s="288"/>
      <c r="G127" s="294"/>
      <c r="H127" s="264">
        <f>SUM(H122:H126)</f>
        <v>64788</v>
      </c>
      <c r="I127" s="288"/>
      <c r="J127" s="280"/>
    </row>
    <row r="128" spans="1:11" ht="15" customHeight="1" thickTop="1" x14ac:dyDescent="0.25">
      <c r="A128" s="140"/>
      <c r="C128" s="244"/>
      <c r="D128" s="244"/>
      <c r="E128" s="248">
        <f>ROUNDDOWN(+E127,-2)</f>
        <v>1619700</v>
      </c>
      <c r="F128" s="248">
        <f>ROUNDDOWN(E128,-2)</f>
        <v>1619700</v>
      </c>
      <c r="G128" s="288"/>
      <c r="H128" s="288"/>
      <c r="I128" s="288"/>
      <c r="J128" s="280"/>
    </row>
    <row r="129" spans="1:12" ht="15" customHeight="1" x14ac:dyDescent="0.25">
      <c r="A129" s="140"/>
      <c r="C129" s="244"/>
      <c r="D129" s="244"/>
      <c r="E129" s="248"/>
      <c r="F129" s="248"/>
      <c r="G129" s="288"/>
      <c r="H129" s="288"/>
      <c r="I129" s="288"/>
      <c r="J129" s="280"/>
    </row>
    <row r="130" spans="1:12" ht="15" customHeight="1" thickBot="1" x14ac:dyDescent="0.3">
      <c r="A130" s="140"/>
      <c r="C130" s="244"/>
      <c r="D130" s="244"/>
      <c r="E130" s="248"/>
      <c r="F130" s="288"/>
      <c r="G130" s="288"/>
      <c r="H130" s="288"/>
      <c r="I130" s="288"/>
      <c r="J130" s="280"/>
    </row>
    <row r="131" spans="1:12" s="63" customFormat="1" ht="15" customHeight="1" x14ac:dyDescent="0.25">
      <c r="A131" s="295" t="s">
        <v>214</v>
      </c>
      <c r="B131" s="296"/>
      <c r="C131" s="296"/>
      <c r="D131" s="296"/>
      <c r="E131" s="296"/>
      <c r="F131" s="296"/>
      <c r="G131" s="297" t="s">
        <v>215</v>
      </c>
      <c r="H131" s="298"/>
      <c r="J131" s="94"/>
      <c r="K131" s="299"/>
      <c r="L131" s="300"/>
    </row>
    <row r="132" spans="1:12" s="63" customFormat="1" ht="15" customHeight="1" x14ac:dyDescent="0.25">
      <c r="A132" s="301" t="s">
        <v>216</v>
      </c>
      <c r="H132" s="137"/>
      <c r="J132" s="94"/>
      <c r="K132" s="302"/>
      <c r="L132" s="300"/>
    </row>
    <row r="133" spans="1:12" s="63" customFormat="1" ht="15" customHeight="1" x14ac:dyDescent="0.25">
      <c r="A133" s="301" t="s">
        <v>217</v>
      </c>
      <c r="H133" s="137"/>
      <c r="J133" s="94"/>
      <c r="K133" s="302"/>
      <c r="L133" s="300"/>
    </row>
    <row r="134" spans="1:12" s="63" customFormat="1" ht="15" customHeight="1" x14ac:dyDescent="0.2">
      <c r="A134" s="303" t="s">
        <v>218</v>
      </c>
      <c r="B134" s="304" t="s">
        <v>219</v>
      </c>
      <c r="C134" s="304"/>
      <c r="D134" s="304"/>
      <c r="E134" s="304"/>
      <c r="F134" s="304"/>
      <c r="G134" s="304"/>
      <c r="H134" s="305"/>
      <c r="I134" s="39"/>
      <c r="J134" s="94"/>
      <c r="K134" s="306" t="s">
        <v>220</v>
      </c>
      <c r="L134" s="300"/>
    </row>
    <row r="135" spans="1:12" s="63" customFormat="1" ht="26.25" customHeight="1" x14ac:dyDescent="0.2">
      <c r="A135" s="303" t="s">
        <v>221</v>
      </c>
      <c r="B135" s="304" t="s">
        <v>222</v>
      </c>
      <c r="C135" s="304"/>
      <c r="D135" s="304"/>
      <c r="E135" s="304"/>
      <c r="F135" s="304"/>
      <c r="G135" s="304"/>
      <c r="H135" s="305"/>
      <c r="I135" s="39"/>
      <c r="J135" s="94"/>
      <c r="K135" s="306" t="s">
        <v>223</v>
      </c>
      <c r="L135" s="300"/>
    </row>
    <row r="136" spans="1:12" s="63" customFormat="1" ht="26.25" customHeight="1" x14ac:dyDescent="0.2">
      <c r="A136" s="303" t="s">
        <v>224</v>
      </c>
      <c r="B136" s="304" t="s">
        <v>225</v>
      </c>
      <c r="C136" s="304"/>
      <c r="D136" s="304"/>
      <c r="E136" s="304"/>
      <c r="F136" s="304"/>
      <c r="G136" s="304"/>
      <c r="H136" s="305"/>
      <c r="I136" s="39"/>
      <c r="J136" s="94"/>
      <c r="K136" s="306" t="s">
        <v>226</v>
      </c>
      <c r="L136" s="300"/>
    </row>
    <row r="137" spans="1:12" s="63" customFormat="1" ht="26.25" customHeight="1" x14ac:dyDescent="0.2">
      <c r="A137" s="303" t="s">
        <v>227</v>
      </c>
      <c r="B137" s="304" t="s">
        <v>228</v>
      </c>
      <c r="C137" s="304"/>
      <c r="D137" s="304"/>
      <c r="E137" s="304"/>
      <c r="F137" s="304"/>
      <c r="G137" s="304"/>
      <c r="H137" s="305"/>
      <c r="I137" s="39"/>
      <c r="J137" s="94"/>
      <c r="K137" s="306" t="s">
        <v>229</v>
      </c>
      <c r="L137" s="300"/>
    </row>
    <row r="138" spans="1:12" s="63" customFormat="1" ht="15" customHeight="1" x14ac:dyDescent="0.2">
      <c r="A138" s="303" t="s">
        <v>230</v>
      </c>
      <c r="B138" s="304" t="s">
        <v>231</v>
      </c>
      <c r="C138" s="304"/>
      <c r="D138" s="304"/>
      <c r="E138" s="304"/>
      <c r="F138" s="304"/>
      <c r="G138" s="304"/>
      <c r="H138" s="305"/>
      <c r="I138" s="39"/>
      <c r="J138" s="94"/>
      <c r="K138" s="306" t="s">
        <v>232</v>
      </c>
      <c r="L138" s="300"/>
    </row>
    <row r="139" spans="1:12" s="63" customFormat="1" ht="15" customHeight="1" x14ac:dyDescent="0.2">
      <c r="A139" s="303" t="s">
        <v>233</v>
      </c>
      <c r="B139" s="304" t="s">
        <v>234</v>
      </c>
      <c r="C139" s="304"/>
      <c r="D139" s="304"/>
      <c r="E139" s="304"/>
      <c r="F139" s="304"/>
      <c r="G139" s="304"/>
      <c r="H139" s="305"/>
      <c r="I139" s="39"/>
      <c r="J139" s="94"/>
      <c r="K139" s="306" t="s">
        <v>235</v>
      </c>
      <c r="L139" s="300"/>
    </row>
    <row r="140" spans="1:12" s="63" customFormat="1" ht="25.5" customHeight="1" x14ac:dyDescent="0.2">
      <c r="A140" s="307"/>
      <c r="B140" s="308" t="s">
        <v>236</v>
      </c>
      <c r="C140" s="308"/>
      <c r="D140" s="308"/>
      <c r="E140" s="308"/>
      <c r="F140" s="308"/>
      <c r="G140" s="308"/>
      <c r="H140" s="309"/>
      <c r="J140" s="94"/>
    </row>
    <row r="141" spans="1:12" s="63" customFormat="1" ht="15" customHeight="1" thickBot="1" x14ac:dyDescent="0.25">
      <c r="A141" s="310"/>
      <c r="B141" s="311" t="s">
        <v>237</v>
      </c>
      <c r="C141" s="311"/>
      <c r="D141" s="311"/>
      <c r="E141" s="311"/>
      <c r="F141" s="311"/>
      <c r="G141" s="311"/>
      <c r="H141" s="312"/>
      <c r="J141" s="94"/>
    </row>
    <row r="142" spans="1:12" s="63" customFormat="1" ht="15" customHeight="1" thickBot="1" x14ac:dyDescent="0.25">
      <c r="A142" s="313"/>
      <c r="B142" s="314"/>
      <c r="C142" s="314"/>
      <c r="D142" s="314"/>
      <c r="E142" s="314"/>
      <c r="F142" s="314"/>
      <c r="G142" s="314"/>
      <c r="J142" s="94"/>
    </row>
    <row r="143" spans="1:12" s="63" customFormat="1" ht="15" customHeight="1" x14ac:dyDescent="0.25">
      <c r="A143" s="295" t="s">
        <v>214</v>
      </c>
      <c r="B143" s="315"/>
      <c r="C143" s="315"/>
      <c r="D143" s="315"/>
      <c r="E143" s="315"/>
      <c r="F143" s="315"/>
      <c r="G143" s="316" t="s">
        <v>238</v>
      </c>
      <c r="H143" s="317"/>
      <c r="J143" s="94"/>
    </row>
    <row r="144" spans="1:12" ht="15" customHeight="1" x14ac:dyDescent="0.25">
      <c r="A144" s="301" t="s">
        <v>239</v>
      </c>
      <c r="C144" s="318"/>
      <c r="D144" s="318"/>
      <c r="E144" s="318"/>
      <c r="F144" s="319"/>
      <c r="G144" s="320"/>
      <c r="H144" s="148"/>
      <c r="J144" s="94"/>
    </row>
    <row r="145" spans="1:10" ht="15" customHeight="1" x14ac:dyDescent="0.25">
      <c r="A145" s="301" t="s">
        <v>240</v>
      </c>
      <c r="C145" s="318"/>
      <c r="D145" s="318"/>
      <c r="E145" s="318"/>
      <c r="F145" s="319"/>
      <c r="G145" s="320"/>
      <c r="H145" s="148"/>
      <c r="J145" s="94"/>
    </row>
    <row r="146" spans="1:10" ht="15" customHeight="1" x14ac:dyDescent="0.25">
      <c r="A146" s="321"/>
      <c r="B146" s="322" t="s">
        <v>241</v>
      </c>
      <c r="D146" s="322" t="s">
        <v>242</v>
      </c>
      <c r="F146" s="319"/>
      <c r="G146" s="320"/>
      <c r="H146" s="148"/>
      <c r="J146" s="94"/>
    </row>
    <row r="147" spans="1:10" ht="15" customHeight="1" x14ac:dyDescent="0.25">
      <c r="A147" s="321"/>
      <c r="B147" s="322" t="s">
        <v>243</v>
      </c>
      <c r="D147" s="322" t="s">
        <v>244</v>
      </c>
      <c r="F147" s="319"/>
      <c r="G147" s="320"/>
      <c r="H147" s="148"/>
      <c r="J147" s="94"/>
    </row>
    <row r="148" spans="1:10" ht="15" customHeight="1" x14ac:dyDescent="0.25">
      <c r="A148" s="321"/>
      <c r="B148" s="322" t="s">
        <v>245</v>
      </c>
      <c r="D148" s="322" t="s">
        <v>246</v>
      </c>
      <c r="F148" s="319"/>
      <c r="G148" s="320"/>
      <c r="H148" s="148"/>
      <c r="J148" s="94"/>
    </row>
    <row r="149" spans="1:10" ht="15" customHeight="1" x14ac:dyDescent="0.25">
      <c r="A149" s="321"/>
      <c r="B149" s="323" t="s">
        <v>247</v>
      </c>
      <c r="D149" s="322" t="s">
        <v>248</v>
      </c>
      <c r="F149" s="319"/>
      <c r="G149" s="320"/>
      <c r="H149" s="148"/>
      <c r="J149" s="94"/>
    </row>
    <row r="150" spans="1:10" ht="15" customHeight="1" x14ac:dyDescent="0.25">
      <c r="A150" s="321"/>
      <c r="B150" s="322" t="s">
        <v>249</v>
      </c>
      <c r="D150" s="322" t="s">
        <v>250</v>
      </c>
      <c r="F150" s="319"/>
      <c r="G150" s="320"/>
      <c r="H150" s="148"/>
      <c r="J150" s="94"/>
    </row>
    <row r="151" spans="1:10" ht="15" customHeight="1" x14ac:dyDescent="0.25">
      <c r="A151" s="321"/>
      <c r="B151" s="322" t="s">
        <v>251</v>
      </c>
      <c r="D151" s="322" t="s">
        <v>252</v>
      </c>
      <c r="F151" s="319"/>
      <c r="G151" s="320"/>
      <c r="H151" s="148"/>
      <c r="J151" s="17"/>
    </row>
    <row r="152" spans="1:10" ht="15" customHeight="1" x14ac:dyDescent="0.25">
      <c r="A152" s="321"/>
      <c r="B152" s="323" t="s">
        <v>253</v>
      </c>
      <c r="D152" s="322" t="s">
        <v>254</v>
      </c>
      <c r="F152" s="319"/>
      <c r="G152" s="320"/>
      <c r="H152" s="148"/>
      <c r="J152" s="17"/>
    </row>
    <row r="153" spans="1:10" ht="15" customHeight="1" thickBot="1" x14ac:dyDescent="0.3">
      <c r="A153" s="324"/>
      <c r="B153" s="325" t="s">
        <v>255</v>
      </c>
      <c r="C153" s="283"/>
      <c r="D153" s="325" t="s">
        <v>256</v>
      </c>
      <c r="E153" s="283"/>
      <c r="F153" s="283"/>
      <c r="G153" s="283"/>
      <c r="H153" s="326"/>
      <c r="J153" s="17"/>
    </row>
    <row r="154" spans="1:10" ht="15" customHeight="1" thickBot="1" x14ac:dyDescent="0.3">
      <c r="A154" s="140"/>
      <c r="J154" s="17"/>
    </row>
    <row r="155" spans="1:10" ht="15" customHeight="1" x14ac:dyDescent="0.25">
      <c r="A155" s="140"/>
      <c r="B155" s="327" t="s">
        <v>257</v>
      </c>
      <c r="C155" s="328"/>
      <c r="D155" s="329"/>
      <c r="E155" s="330" t="s">
        <v>258</v>
      </c>
      <c r="F155" s="331"/>
      <c r="G155" s="330" t="s">
        <v>259</v>
      </c>
      <c r="H155" s="332"/>
      <c r="J155" s="17"/>
    </row>
    <row r="156" spans="1:10" ht="15" customHeight="1" x14ac:dyDescent="0.25">
      <c r="A156" s="140"/>
      <c r="B156" s="333" t="s">
        <v>15</v>
      </c>
      <c r="C156" s="244"/>
      <c r="D156" s="269"/>
      <c r="E156" s="334" t="s">
        <v>260</v>
      </c>
      <c r="G156" s="334" t="s">
        <v>261</v>
      </c>
      <c r="H156" s="148"/>
      <c r="J156" s="17"/>
    </row>
    <row r="157" spans="1:10" ht="15" customHeight="1" x14ac:dyDescent="0.25">
      <c r="A157" s="140"/>
      <c r="B157" s="333" t="s">
        <v>262</v>
      </c>
      <c r="C157" s="244"/>
      <c r="D157" s="269"/>
      <c r="E157" s="334" t="s">
        <v>263</v>
      </c>
      <c r="G157" s="334" t="s">
        <v>264</v>
      </c>
      <c r="H157" s="148"/>
      <c r="J157" s="17"/>
    </row>
    <row r="158" spans="1:10" ht="15" customHeight="1" x14ac:dyDescent="0.25">
      <c r="A158" s="140"/>
      <c r="B158" s="333" t="s">
        <v>265</v>
      </c>
      <c r="C158" s="244"/>
      <c r="D158" s="269"/>
      <c r="E158" s="334" t="s">
        <v>266</v>
      </c>
      <c r="H158" s="148"/>
      <c r="J158" s="17"/>
    </row>
    <row r="159" spans="1:10" ht="15" customHeight="1" x14ac:dyDescent="0.25">
      <c r="A159" s="140"/>
      <c r="B159" s="333" t="s">
        <v>267</v>
      </c>
      <c r="C159" s="244"/>
      <c r="D159" s="269"/>
      <c r="E159" s="334" t="s">
        <v>268</v>
      </c>
      <c r="H159" s="148"/>
      <c r="J159" s="17"/>
    </row>
    <row r="160" spans="1:10" ht="15" customHeight="1" x14ac:dyDescent="0.25">
      <c r="A160" s="140"/>
      <c r="B160" s="333" t="s">
        <v>269</v>
      </c>
      <c r="C160" s="244"/>
      <c r="D160" s="269"/>
      <c r="H160" s="148"/>
      <c r="J160" s="17"/>
    </row>
    <row r="161" spans="1:11" ht="15" customHeight="1" x14ac:dyDescent="0.25">
      <c r="A161" s="140"/>
      <c r="B161" s="333" t="s">
        <v>270</v>
      </c>
      <c r="C161" s="244"/>
      <c r="D161" s="269"/>
      <c r="H161" s="148"/>
      <c r="J161" s="17"/>
    </row>
    <row r="162" spans="1:11" ht="15" customHeight="1" x14ac:dyDescent="0.25">
      <c r="A162" s="140"/>
      <c r="B162" s="333" t="s">
        <v>271</v>
      </c>
      <c r="C162" s="244"/>
      <c r="D162" s="335">
        <f>SUM(C156:C162)</f>
        <v>0</v>
      </c>
      <c r="H162" s="148"/>
      <c r="J162" s="17"/>
    </row>
    <row r="163" spans="1:11" ht="15" customHeight="1" x14ac:dyDescent="0.25">
      <c r="A163" s="140"/>
      <c r="B163" s="336" t="s">
        <v>272</v>
      </c>
      <c r="C163" s="244"/>
      <c r="D163" s="318"/>
      <c r="E163" s="337"/>
      <c r="H163" s="148"/>
      <c r="J163" s="17"/>
    </row>
    <row r="164" spans="1:11" ht="15" customHeight="1" x14ac:dyDescent="0.25">
      <c r="A164" s="140"/>
      <c r="B164" s="333" t="s">
        <v>273</v>
      </c>
      <c r="C164" s="338"/>
      <c r="D164" s="318"/>
      <c r="H164" s="148"/>
      <c r="J164" s="17"/>
    </row>
    <row r="165" spans="1:11" ht="15" customHeight="1" x14ac:dyDescent="0.25">
      <c r="A165" s="140"/>
      <c r="B165" s="333" t="s">
        <v>274</v>
      </c>
      <c r="C165" s="338"/>
      <c r="D165" s="318"/>
      <c r="H165" s="148"/>
      <c r="J165" s="17"/>
    </row>
    <row r="166" spans="1:11" ht="15" customHeight="1" x14ac:dyDescent="0.25">
      <c r="A166" s="140"/>
      <c r="B166" s="333" t="s">
        <v>275</v>
      </c>
      <c r="C166" s="338"/>
      <c r="D166" s="318">
        <f>SUM(C164:C166)</f>
        <v>0</v>
      </c>
      <c r="H166" s="148"/>
      <c r="J166" s="17"/>
    </row>
    <row r="167" spans="1:11" ht="15" customHeight="1" thickBot="1" x14ac:dyDescent="0.3">
      <c r="A167" s="140"/>
      <c r="B167" s="339" t="s">
        <v>276</v>
      </c>
      <c r="C167" s="340"/>
      <c r="D167" s="341"/>
      <c r="E167" s="283"/>
      <c r="F167" s="283"/>
      <c r="G167" s="283"/>
      <c r="H167" s="326"/>
      <c r="J167" s="17"/>
    </row>
    <row r="168" spans="1:11" ht="15" customHeight="1" x14ac:dyDescent="0.25">
      <c r="A168" s="140"/>
      <c r="B168" s="318"/>
      <c r="D168" s="342">
        <f>D162+D166+D167</f>
        <v>0</v>
      </c>
      <c r="J168" s="17"/>
    </row>
    <row r="169" spans="1:11" ht="15" customHeight="1" x14ac:dyDescent="0.25">
      <c r="A169" s="140"/>
      <c r="F169" s="248"/>
      <c r="G169" s="248"/>
      <c r="H169" s="248"/>
      <c r="I169" s="257"/>
      <c r="J169" s="94"/>
      <c r="K169" s="69">
        <f>H169*0.03</f>
        <v>0</v>
      </c>
    </row>
    <row r="170" spans="1:11" ht="15" customHeight="1" x14ac:dyDescent="0.25">
      <c r="A170" s="140"/>
      <c r="H170" s="53"/>
      <c r="K170" s="69"/>
    </row>
    <row r="171" spans="1:11" ht="15" customHeight="1" x14ac:dyDescent="0.25">
      <c r="A171" s="140"/>
    </row>
    <row r="172" spans="1:11" ht="15" customHeight="1" x14ac:dyDescent="0.25">
      <c r="A172" s="140"/>
      <c r="H172" s="53"/>
    </row>
  </sheetData>
  <mergeCells count="33">
    <mergeCell ref="B141:G141"/>
    <mergeCell ref="G143:H143"/>
    <mergeCell ref="B135:H135"/>
    <mergeCell ref="B136:H136"/>
    <mergeCell ref="B137:H137"/>
    <mergeCell ref="B138:H138"/>
    <mergeCell ref="B139:H139"/>
    <mergeCell ref="B140:H140"/>
    <mergeCell ref="E91:G91"/>
    <mergeCell ref="I100:J100"/>
    <mergeCell ref="I113:J113"/>
    <mergeCell ref="I123:J123"/>
    <mergeCell ref="G131:H131"/>
    <mergeCell ref="B134:H134"/>
    <mergeCell ref="A64:B64"/>
    <mergeCell ref="F64:I64"/>
    <mergeCell ref="E80:G80"/>
    <mergeCell ref="E88:G88"/>
    <mergeCell ref="E89:G89"/>
    <mergeCell ref="E90:G90"/>
    <mergeCell ref="C58:D58"/>
    <mergeCell ref="C59:D59"/>
    <mergeCell ref="C60:D60"/>
    <mergeCell ref="C61:F61"/>
    <mergeCell ref="B62:E62"/>
    <mergeCell ref="A63:I63"/>
    <mergeCell ref="A1:C1"/>
    <mergeCell ref="D1:H1"/>
    <mergeCell ref="J1:M1"/>
    <mergeCell ref="A2:C2"/>
    <mergeCell ref="F2:G2"/>
    <mergeCell ref="A29:B29"/>
    <mergeCell ref="C29:F29"/>
  </mergeCells>
  <conditionalFormatting sqref="F46">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2021-11-18T07:57:20Z</dcterms:created>
  <dcterms:modified xsi:type="dcterms:W3CDTF">2021-11-18T07:57:37Z</dcterms:modified>
</cp:coreProperties>
</file>