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Tax Doctor\Desktop\"/>
    </mc:Choice>
  </mc:AlternateContent>
  <xr:revisionPtr revIDLastSave="0" documentId="13_ncr:1_{22EA88B6-BB40-4D86-B81F-0FE1CDE17DE2}" xr6:coauthVersionLast="47" xr6:coauthVersionMax="47" xr10:uidLastSave="{00000000-0000-0000-0000-000000000000}"/>
  <bookViews>
    <workbookView xWindow="-108" yWindow="-108" windowWidth="23256" windowHeight="12720" xr2:uid="{7C499CD2-EE89-464E-8396-02E2C69A64D7}"/>
  </bookViews>
  <sheets>
    <sheet name="6_SBSE" sheetId="1" r:id="rId1"/>
  </sheets>
  <externalReferences>
    <externalReference r:id="rId2"/>
  </externalReferences>
  <definedNames>
    <definedName name="newbasicPB4">[1]Sheet1!$T$4:$T$37</definedName>
    <definedName name="oldbasicPB4">[1]Sheet1!$S$4:$S$37</definedName>
    <definedName name="_xlnm.Print_Area" localSheetId="0">'6_SBSE'!$A$1:$I$52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144" i="1" l="1"/>
  <c r="D142" i="1"/>
  <c r="D138" i="1"/>
  <c r="E100" i="1"/>
  <c r="E93" i="1"/>
  <c r="E88" i="1"/>
  <c r="C84" i="1"/>
  <c r="H49" i="1"/>
  <c r="L48" i="1"/>
  <c r="M34" i="1"/>
  <c r="M33" i="1"/>
  <c r="H31" i="1"/>
  <c r="M28" i="1"/>
  <c r="F28" i="1"/>
  <c r="F27" i="1"/>
  <c r="D27" i="1"/>
  <c r="F26" i="1"/>
  <c r="D26" i="1"/>
  <c r="G22" i="1"/>
  <c r="E22" i="1"/>
  <c r="G21" i="1"/>
  <c r="G20" i="1"/>
  <c r="H23" i="1" s="1"/>
  <c r="H62" i="1" s="1"/>
  <c r="H18" i="1"/>
  <c r="E35" i="1" s="1"/>
  <c r="G18" i="1"/>
  <c r="G17" i="1"/>
  <c r="H13" i="1"/>
  <c r="M8" i="1"/>
  <c r="G8" i="1" s="1"/>
  <c r="L8" i="1"/>
  <c r="G6" i="1"/>
  <c r="G4" i="1"/>
  <c r="G7" i="1" s="1"/>
  <c r="I2" i="1"/>
  <c r="G35" i="1" l="1"/>
  <c r="N53" i="1"/>
  <c r="N54" i="1" s="1"/>
  <c r="G9" i="1"/>
  <c r="A31" i="1"/>
  <c r="E31" i="1"/>
  <c r="E61" i="1"/>
  <c r="H65" i="1" s="1"/>
  <c r="H60" i="1" l="1"/>
  <c r="H63" i="1" s="1"/>
  <c r="H10" i="1"/>
  <c r="N55" i="1"/>
  <c r="N56" i="1" s="1"/>
  <c r="H67" i="1"/>
  <c r="H68" i="1" s="1"/>
  <c r="H66" i="1"/>
  <c r="H70" i="1" l="1"/>
  <c r="H69" i="1"/>
  <c r="N57" i="1"/>
  <c r="H24" i="1"/>
  <c r="E32" i="1" s="1"/>
  <c r="H32" i="1" s="1"/>
  <c r="L47" i="1"/>
  <c r="M48" i="1" s="1"/>
  <c r="M49" i="1" s="1"/>
  <c r="E34" i="1" l="1"/>
  <c r="G37" i="1"/>
  <c r="M50" i="1"/>
  <c r="M51" i="1" s="1"/>
  <c r="M52" i="1"/>
  <c r="M35" i="1" l="1"/>
  <c r="M36" i="1" s="1"/>
  <c r="G34" i="1"/>
  <c r="G36" i="1" s="1"/>
  <c r="H37" i="1" s="1"/>
  <c r="H39" i="1" l="1"/>
  <c r="H38" i="1"/>
  <c r="H41" i="1" l="1"/>
  <c r="H40" i="1"/>
  <c r="E74" i="1" l="1"/>
  <c r="E87" i="1" l="1"/>
  <c r="E89" i="1" s="1"/>
  <c r="E99" i="1"/>
  <c r="E102" i="1" s="1"/>
  <c r="E103" i="1" s="1"/>
  <c r="H100" i="1" s="1"/>
  <c r="E76" i="1"/>
  <c r="E77" i="1" s="1"/>
  <c r="E81" i="1" l="1"/>
  <c r="F81" i="1" s="1"/>
  <c r="G81" i="1" s="1"/>
  <c r="H81" i="1" s="1"/>
  <c r="E80" i="1"/>
  <c r="F80" i="1" s="1"/>
  <c r="G80" i="1" s="1"/>
  <c r="H80" i="1" s="1"/>
  <c r="E79" i="1"/>
  <c r="F79" i="1" s="1"/>
  <c r="G79" i="1" s="1"/>
  <c r="H79" i="1" s="1"/>
  <c r="E82" i="1"/>
  <c r="F82" i="1" s="1"/>
  <c r="G82" i="1" s="1"/>
  <c r="H82" i="1" s="1"/>
  <c r="H101" i="1"/>
  <c r="H102" i="1" s="1"/>
  <c r="H103" i="1" s="1"/>
  <c r="E91" i="1"/>
  <c r="E94" i="1"/>
  <c r="F94" i="1" s="1"/>
  <c r="H105" i="1" l="1"/>
  <c r="H92" i="1"/>
  <c r="H91" i="1"/>
  <c r="H90" i="1"/>
  <c r="H89" i="1"/>
  <c r="H88" i="1"/>
  <c r="H87" i="1"/>
  <c r="H94" i="1"/>
  <c r="H93" i="1"/>
  <c r="H42" i="1" l="1"/>
  <c r="H44" i="1" s="1"/>
  <c r="H50" i="1" s="1"/>
  <c r="B50" i="1" s="1"/>
  <c r="H7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RATHORE</author>
  </authors>
  <commentList>
    <comment ref="I2" authorId="0" shapeId="0" xr:uid="{4D2041B4-640D-4AB9-AB0F-610081A41F40}">
      <text>
        <r>
          <rPr>
            <b/>
            <sz val="8"/>
            <color indexed="81"/>
            <rFont val="Tahoma"/>
            <family val="2"/>
          </rPr>
          <t>RATHORE:</t>
        </r>
        <r>
          <rPr>
            <sz val="8"/>
            <color indexed="81"/>
            <rFont val="Tahoma"/>
            <family val="2"/>
          </rPr>
          <t xml:space="preserve">
</t>
        </r>
      </text>
    </comment>
    <comment ref="C46" authorId="0" shapeId="0" xr:uid="{A80434F8-5A4E-4E15-A12C-C9E7F4F81F33}">
      <text>
        <r>
          <rPr>
            <b/>
            <sz val="8"/>
            <color indexed="81"/>
            <rFont val="Tahoma"/>
            <family val="2"/>
          </rPr>
          <t>RATHORE:</t>
        </r>
        <r>
          <rPr>
            <sz val="8"/>
            <color indexed="81"/>
            <rFont val="Tahoma"/>
            <family val="2"/>
          </rPr>
          <t xml:space="preserve">
</t>
        </r>
      </text>
    </comment>
    <comment ref="B50" authorId="0" shapeId="0" xr:uid="{7D0F1841-CE86-423D-B0A9-0DC43AD0942C}">
      <text>
        <r>
          <rPr>
            <b/>
            <sz val="8"/>
            <color indexed="81"/>
            <rFont val="Tahoma"/>
            <family val="2"/>
          </rPr>
          <t>RATHORE:</t>
        </r>
        <r>
          <rPr>
            <sz val="8"/>
            <color indexed="81"/>
            <rFont val="Tahoma"/>
            <family val="2"/>
          </rPr>
          <t xml:space="preserve">
</t>
        </r>
      </text>
    </comment>
  </commentList>
</comments>
</file>

<file path=xl/sharedStrings.xml><?xml version="1.0" encoding="utf-8"?>
<sst xmlns="http://schemas.openxmlformats.org/spreadsheetml/2006/main" count="274" uniqueCount="249">
  <si>
    <t>Dr. V.K. Singhania's Book</t>
  </si>
  <si>
    <t xml:space="preserve">A S S E S S M E N T   Y E A R  :  2 0 2 1 - 2 2 </t>
  </si>
  <si>
    <t xml:space="preserve">Case-6  (Salary, Sale of Personal Computer, Jewellery) </t>
  </si>
  <si>
    <t>Exempted</t>
  </si>
  <si>
    <t>Filing Date</t>
  </si>
  <si>
    <t>65th Edition:  August-2021</t>
  </si>
  <si>
    <t>Case Study-6</t>
  </si>
  <si>
    <t>Pgs  533-534</t>
  </si>
  <si>
    <t>Naresh Kumar Malhotra</t>
  </si>
  <si>
    <r>
      <t xml:space="preserve">SALARIES </t>
    </r>
    <r>
      <rPr>
        <sz val="10"/>
        <color theme="1"/>
        <rFont val="Arial"/>
        <family val="2"/>
      </rPr>
      <t>U/S 15-17</t>
    </r>
  </si>
  <si>
    <t>shorturl.at/ksBTV</t>
  </si>
  <si>
    <t>Amount (Rs.)</t>
  </si>
  <si>
    <t xml:space="preserve">Salary </t>
  </si>
  <si>
    <t xml:space="preserve">Due date </t>
  </si>
  <si>
    <t>Sec 17(1)</t>
  </si>
  <si>
    <t>Basic Salary and Allowances</t>
  </si>
  <si>
    <t>(i)</t>
  </si>
  <si>
    <t xml:space="preserve">Travelling  Allowance </t>
  </si>
  <si>
    <t>Sec 17(2)</t>
  </si>
  <si>
    <t xml:space="preserve">Value of Perquisites </t>
  </si>
  <si>
    <t>House Rent Allowance</t>
  </si>
  <si>
    <t>Calculation</t>
  </si>
  <si>
    <t>Sec 17(3)</t>
  </si>
  <si>
    <t xml:space="preserve">Profit in lieu of Salary </t>
  </si>
  <si>
    <t>Entertainment Allowance</t>
  </si>
  <si>
    <t xml:space="preserve">Gross Salary </t>
  </si>
  <si>
    <t>Late Fees</t>
  </si>
  <si>
    <t>Sec 10</t>
  </si>
  <si>
    <r>
      <t>Less Exempt Allowances (27690 + 31000)</t>
    </r>
    <r>
      <rPr>
        <sz val="9"/>
        <color rgb="FFC00000"/>
        <rFont val="Arial"/>
        <family val="2"/>
      </rPr>
      <t xml:space="preserve"> </t>
    </r>
  </si>
  <si>
    <t>Jan-Mar 2022</t>
  </si>
  <si>
    <t xml:space="preserve">Net Salary </t>
  </si>
  <si>
    <t xml:space="preserve">Profit in Lieu of salary (Taxable) </t>
  </si>
  <si>
    <t>Sec 16(ia)</t>
  </si>
  <si>
    <r>
      <t xml:space="preserve">Less Standard  Deduction </t>
    </r>
    <r>
      <rPr>
        <sz val="9"/>
        <color rgb="FFC00000"/>
        <rFont val="Arial"/>
        <family val="2"/>
      </rPr>
      <t xml:space="preserve">(No Entertainment Ded-Private) </t>
    </r>
  </si>
  <si>
    <t xml:space="preserve"> (Compensation, Unrecog PF, Excess Contribution/Intt to RPF) </t>
  </si>
  <si>
    <r>
      <t xml:space="preserve">HOUSE PROPERTY </t>
    </r>
    <r>
      <rPr>
        <sz val="10"/>
        <color theme="1"/>
        <rFont val="Arial"/>
        <family val="2"/>
      </rPr>
      <t>U/S 22-27</t>
    </r>
  </si>
  <si>
    <t xml:space="preserve">Annual Value </t>
  </si>
  <si>
    <t>LESS: Deduction</t>
  </si>
  <si>
    <t>Sale of Personal Computer  on 10-09-20</t>
  </si>
  <si>
    <r>
      <t xml:space="preserve">CAPITAL GAINS </t>
    </r>
    <r>
      <rPr>
        <sz val="10"/>
        <color theme="1"/>
        <rFont val="Arial"/>
        <family val="2"/>
      </rPr>
      <t>U/S 45 - 55</t>
    </r>
  </si>
  <si>
    <t>Purchased during FY 2017-18</t>
  </si>
  <si>
    <t>SHORT TERM CAPITAL GAIN</t>
  </si>
  <si>
    <r>
      <t xml:space="preserve">Schedule-Capital Gains-LTCG   </t>
    </r>
    <r>
      <rPr>
        <b/>
        <sz val="9"/>
        <color rgb="FFC00000"/>
        <rFont val="Arial"/>
        <family val="2"/>
      </rPr>
      <t xml:space="preserve"> B9(a)(ii) </t>
    </r>
  </si>
  <si>
    <r>
      <t xml:space="preserve">LONG TERM CAPITAL GAIN </t>
    </r>
    <r>
      <rPr>
        <sz val="9"/>
        <color theme="7" tint="-0.249977111117893"/>
        <rFont val="Arial"/>
        <family val="2"/>
      </rPr>
      <t xml:space="preserve"> (Personal Computer-Not Capital asset) </t>
    </r>
  </si>
  <si>
    <t>Sale of Personal Gold  on 10-04-20</t>
  </si>
  <si>
    <t xml:space="preserve">Sale Consideration  (Jewellery) </t>
  </si>
  <si>
    <t>Acquisition Cost (FY 2003-04)</t>
  </si>
  <si>
    <t>CII = 301</t>
  </si>
  <si>
    <t xml:space="preserve">Less Indexed Acq Cost </t>
  </si>
  <si>
    <t xml:space="preserve">(300000 * 301 / 109) </t>
  </si>
  <si>
    <t>Cost Inflation Index:  FY 2003-04 = 109 &amp; FY 2020-21 = 301</t>
  </si>
  <si>
    <r>
      <t xml:space="preserve">OTHER SOURCES </t>
    </r>
    <r>
      <rPr>
        <sz val="10"/>
        <color theme="1"/>
        <rFont val="Arial"/>
        <family val="2"/>
      </rPr>
      <t>U/S 56-59</t>
    </r>
  </si>
  <si>
    <t>FY 2021-22</t>
  </si>
  <si>
    <t xml:space="preserve">Saving Bank Interest </t>
  </si>
  <si>
    <r>
      <t xml:space="preserve">Bank Fixed Deposit Interest </t>
    </r>
    <r>
      <rPr>
        <sz val="9"/>
        <color rgb="FF0000FF"/>
        <rFont val="Arial"/>
        <family val="2"/>
      </rPr>
      <t xml:space="preserve">(180000 * 100 / 90) </t>
    </r>
  </si>
  <si>
    <t>Bank FDR Intt (Net of TDS @ 10%)</t>
  </si>
  <si>
    <t>TDS 20000</t>
  </si>
  <si>
    <t xml:space="preserve">Dividend </t>
  </si>
  <si>
    <t>Dividend form PNB Mutual Fund</t>
  </si>
  <si>
    <t>No TDS</t>
  </si>
  <si>
    <t>Gift from Non-Relative not exceeding Rs. 50000</t>
  </si>
  <si>
    <t>Gift in Cash from Friend</t>
  </si>
  <si>
    <t>GROSS TOTAL INCOME</t>
  </si>
  <si>
    <t xml:space="preserve">LESS: DEDUCTIONS UNDER CHAPTER VI-A </t>
  </si>
  <si>
    <t>Recognised Prov Fund</t>
  </si>
  <si>
    <t xml:space="preserve">Section 80C </t>
  </si>
  <si>
    <t>Public Prov Fund</t>
  </si>
  <si>
    <t>Max 150000</t>
  </si>
  <si>
    <t>Cash deposited in Sukanya Samridhi Yojana</t>
  </si>
  <si>
    <t xml:space="preserve">Daughter </t>
  </si>
  <si>
    <t>Sukanya Samridhi Yojana</t>
  </si>
  <si>
    <r>
      <t xml:space="preserve">Sec  80CCD(1) </t>
    </r>
    <r>
      <rPr>
        <sz val="9"/>
        <color theme="1"/>
        <rFont val="Arial"/>
        <family val="2"/>
      </rPr>
      <t>NPS</t>
    </r>
  </si>
  <si>
    <t>New Pension Scheme</t>
  </si>
  <si>
    <r>
      <t xml:space="preserve">Sec  80CCD(1B) </t>
    </r>
    <r>
      <rPr>
        <sz val="9"/>
        <color theme="1"/>
        <rFont val="Arial"/>
        <family val="2"/>
      </rPr>
      <t>New Pension Scheme  Max 50000</t>
    </r>
  </si>
  <si>
    <t>Sec 80TTB</t>
  </si>
  <si>
    <t>SB / FDR Intt</t>
  </si>
  <si>
    <t xml:space="preserve">TOTAL  INCOME </t>
  </si>
  <si>
    <t>Rounding Off u/s 288A</t>
  </si>
  <si>
    <t xml:space="preserve">Income tax </t>
  </si>
  <si>
    <t xml:space="preserve">TAX ON TOTAL INCOME </t>
  </si>
  <si>
    <t xml:space="preserve">INCOME  </t>
  </si>
  <si>
    <t>RATE</t>
  </si>
  <si>
    <t>TAX</t>
  </si>
  <si>
    <t>300,000  to  500,000</t>
  </si>
  <si>
    <t>NORMAL INCOME</t>
  </si>
  <si>
    <t>500,000 to 1000,000</t>
  </si>
  <si>
    <t xml:space="preserve">LTCG </t>
  </si>
  <si>
    <t>SPECIAL INCOME</t>
  </si>
  <si>
    <t xml:space="preserve">      Above   1000,000</t>
  </si>
  <si>
    <t>Sec 87A</t>
  </si>
  <si>
    <r>
      <t xml:space="preserve">LESS : REBATE  </t>
    </r>
    <r>
      <rPr>
        <sz val="8"/>
        <color theme="1"/>
        <rFont val="Arial Narrow"/>
        <family val="2"/>
      </rPr>
      <t>(Rs. 12500, if Total Income upto Rs. 5 Lakhs)</t>
    </r>
  </si>
  <si>
    <r>
      <t xml:space="preserve">ADD : SURCHARGE  </t>
    </r>
    <r>
      <rPr>
        <sz val="8"/>
        <color theme="1"/>
        <rFont val="Arial"/>
        <family val="2"/>
      </rPr>
      <t>(10 % / 15% / 25% / 37%)</t>
    </r>
  </si>
  <si>
    <t>Details of Assets &amp; Liabilities</t>
  </si>
  <si>
    <t xml:space="preserve">Acq Cost </t>
  </si>
  <si>
    <t>Mkt value</t>
  </si>
  <si>
    <t xml:space="preserve">ADD : HEALTH &amp; EDUCATION CESS (4 % on Income Tax + Surcharge) </t>
  </si>
  <si>
    <t>Jewellery (1984-85)</t>
  </si>
  <si>
    <r>
      <t>TOTAL TAX PAYABLE</t>
    </r>
    <r>
      <rPr>
        <sz val="10"/>
        <color theme="1"/>
        <rFont val="Arial"/>
        <family val="2"/>
      </rPr>
      <t xml:space="preserve"> (including Surcharge &amp; Cesses) </t>
    </r>
  </si>
  <si>
    <t xml:space="preserve">Saving Bank A/c </t>
  </si>
  <si>
    <t>ADD : INTEREST U/S 234A</t>
  </si>
  <si>
    <t>Interest till Month of Nov-21</t>
  </si>
  <si>
    <t>Fixed Deposits</t>
  </si>
  <si>
    <t xml:space="preserve">ADD : Late Fees U/S 234F </t>
  </si>
  <si>
    <t>Rs. 5000 (Jan-Mar 2022)</t>
  </si>
  <si>
    <t>TOTAL TAX AND INTEREST PAYABLE</t>
  </si>
  <si>
    <t xml:space="preserve">TAX PAID U/S 199 : </t>
  </si>
  <si>
    <t xml:space="preserve">Advance Tax Paid  U/S 210 </t>
  </si>
  <si>
    <t>TDS to be deducted  by the Employer</t>
  </si>
  <si>
    <t xml:space="preserve">T. D. S.  U/S 192 </t>
  </si>
  <si>
    <t>Employer</t>
  </si>
  <si>
    <t xml:space="preserve">Salary after Std Deduction </t>
  </si>
  <si>
    <t xml:space="preserve">T. D. S.  U/S 194A </t>
  </si>
  <si>
    <t>SBI</t>
  </si>
  <si>
    <t>Deds 80C_80CCD (1B)</t>
  </si>
  <si>
    <t xml:space="preserve">Income Tax </t>
  </si>
  <si>
    <t>Rounding Off u/s 288B</t>
  </si>
  <si>
    <t xml:space="preserve">Surcharge </t>
  </si>
  <si>
    <t xml:space="preserve">Tax Cals by Dr SB Rathore, Former Associate Professor of Commerce;  42 yrs Teaching Experience (Oct-77 to Dec-19) in Shyam Lal College (University of Delhi) </t>
  </si>
  <si>
    <t xml:space="preserve">HEC </t>
  </si>
  <si>
    <t>Website: www.taxclasses.in</t>
  </si>
  <si>
    <t xml:space="preserve">FaceBook: DrSB Rathore </t>
  </si>
  <si>
    <t xml:space="preserve">YouTube: Dr Rathore's tax Video Lectures (No Advertisements) </t>
  </si>
  <si>
    <t xml:space="preserve">Long Term Capital Gain on sale  of Gold </t>
  </si>
  <si>
    <t>Transport Allowance</t>
  </si>
  <si>
    <t xml:space="preserve">Resi  to Office </t>
  </si>
  <si>
    <t xml:space="preserve">Sec 10(14) (ii) </t>
  </si>
  <si>
    <t>Handicapped @ 3200 pm</t>
  </si>
  <si>
    <t xml:space="preserve">Taxable </t>
  </si>
  <si>
    <t>Conveyance Allowance</t>
  </si>
  <si>
    <t xml:space="preserve">Local </t>
  </si>
  <si>
    <t xml:space="preserve">Sec 10(14) (i) </t>
  </si>
  <si>
    <t>Received</t>
  </si>
  <si>
    <t>Less Spent</t>
  </si>
  <si>
    <t xml:space="preserve">Diff Taxable </t>
  </si>
  <si>
    <t>Travelling Allowance</t>
  </si>
  <si>
    <t xml:space="preserve">Out of Station </t>
  </si>
  <si>
    <t>New Tax Rates Regime</t>
  </si>
  <si>
    <t>Old Tax Rates Regime</t>
  </si>
  <si>
    <t>Salaries</t>
  </si>
  <si>
    <r>
      <t>Upto 2,50,000</t>
    </r>
    <r>
      <rPr>
        <sz val="10"/>
        <color rgb="FFC00000"/>
        <rFont val="Arial"/>
        <family val="2"/>
      </rPr>
      <t xml:space="preserve"> </t>
    </r>
  </si>
  <si>
    <t xml:space="preserve">Nil </t>
  </si>
  <si>
    <t>Capital Gain</t>
  </si>
  <si>
    <t>2,50,001   to    5,00,000</t>
  </si>
  <si>
    <t>Other Sources</t>
  </si>
  <si>
    <t>5,00,001   to  10,00,000</t>
  </si>
  <si>
    <t>Total income</t>
  </si>
  <si>
    <t>Above            10,00,000</t>
  </si>
  <si>
    <t xml:space="preserve">Spl Income Tax @ 20% </t>
  </si>
  <si>
    <t xml:space="preserve">   Upto             2,50,000</t>
  </si>
  <si>
    <t>5,00,001   to    7,50,000</t>
  </si>
  <si>
    <t>7,50,001   to  10,00,000</t>
  </si>
  <si>
    <t>10,00,001 to  12,50,000</t>
  </si>
  <si>
    <t>Total Liability</t>
  </si>
  <si>
    <t>12,50,001  to  15,00,000</t>
  </si>
  <si>
    <t xml:space="preserve">   Above         15,00,000</t>
  </si>
  <si>
    <t>Calculation  of Interest under Sections 234A, 234B &amp; 234C</t>
  </si>
  <si>
    <t>Total Interest</t>
  </si>
  <si>
    <t xml:space="preserve">No Change </t>
  </si>
  <si>
    <t>Section 234C: In case of Non-Sr Citizen: If  Amount Exceeds Rs. 10000</t>
  </si>
  <si>
    <t>Rebate u/s 87A (if TI upto  5 Lakhs)</t>
  </si>
  <si>
    <t>Part -B</t>
  </si>
  <si>
    <t>80C - 80GGC</t>
  </si>
  <si>
    <t>Total Tax, Surcharge &amp; Cess</t>
  </si>
  <si>
    <t>10%  Surcharge   (TI 50 Lakhs - 100 Lakhs)</t>
  </si>
  <si>
    <t>Part -C</t>
  </si>
  <si>
    <t>80H - 80RRB</t>
  </si>
  <si>
    <t>Less TDS by the Employer, Bank</t>
  </si>
  <si>
    <t>15%  Surcharge   (TI 100 Lakhs - 200 Lakhs)</t>
  </si>
  <si>
    <t>Part- CA</t>
  </si>
  <si>
    <t>80TTA, 80TTB</t>
  </si>
  <si>
    <t xml:space="preserve">Liability for Advance tax </t>
  </si>
  <si>
    <t>Health &amp; Education Cess @ 4%</t>
  </si>
  <si>
    <t>Part-D</t>
  </si>
  <si>
    <t>80U</t>
  </si>
  <si>
    <t>Deposit Date</t>
  </si>
  <si>
    <t xml:space="preserve">Tax Amount </t>
  </si>
  <si>
    <t>Last Date</t>
  </si>
  <si>
    <t xml:space="preserve">Amount </t>
  </si>
  <si>
    <t>Round Down by 100</t>
  </si>
  <si>
    <t xml:space="preserve">Shortfall </t>
  </si>
  <si>
    <t>Interest</t>
  </si>
  <si>
    <t>Section 234B:  If  Amount Exceeds Rs. 10000 (Less than 90 %.....)</t>
  </si>
  <si>
    <t xml:space="preserve"> Tax Liability after TDS</t>
  </si>
  <si>
    <t>Advance Tax   till 31-03-2021</t>
  </si>
  <si>
    <t xml:space="preserve">Tax Liability after Advance Tax </t>
  </si>
  <si>
    <t>Section 234A:  If Amount Exceeds Rs. 100000</t>
  </si>
  <si>
    <t>Less Advance tax paid by 31-03-2021</t>
  </si>
  <si>
    <t xml:space="preserve">Sec 10(14) : Special Allowances prescribed as exempt </t>
  </si>
  <si>
    <t>Granted &amp; Incurred</t>
  </si>
  <si>
    <t>Sec 10(14)(i) : Exemption depend upon Actual Expenditure by the Employee</t>
  </si>
  <si>
    <t xml:space="preserve">Lower of (a) Allowance Amount or (b) Amount spent for specific purose </t>
  </si>
  <si>
    <r>
      <t>(</t>
    </r>
    <r>
      <rPr>
        <i/>
        <sz val="9"/>
        <color rgb="FF3E3E3E"/>
        <rFont val="Arial"/>
        <family val="2"/>
      </rPr>
      <t>a</t>
    </r>
    <r>
      <rPr>
        <sz val="9"/>
        <color rgb="FF3E3E3E"/>
        <rFont val="Arial"/>
        <family val="2"/>
      </rPr>
      <t>)</t>
    </r>
  </si>
  <si>
    <t>any allowance granted to meet the cost of travel on tour or on transfer;</t>
  </si>
  <si>
    <t>Travelling / Tour</t>
  </si>
  <si>
    <r>
      <t>(</t>
    </r>
    <r>
      <rPr>
        <i/>
        <sz val="9"/>
        <color rgb="FF3E3E3E"/>
        <rFont val="Arial"/>
        <family val="2"/>
      </rPr>
      <t>b</t>
    </r>
    <r>
      <rPr>
        <sz val="9"/>
        <color rgb="FF3E3E3E"/>
        <rFont val="Arial"/>
        <family val="2"/>
      </rPr>
      <t>)</t>
    </r>
  </si>
  <si>
    <t>any allowance, whether, granted on tour or for the period of journey in connection with transfer, to meet the ordinary daily charges incurred by an employee on account of absence from his normal place of duty;</t>
  </si>
  <si>
    <t>Conveyance</t>
  </si>
  <si>
    <r>
      <t>(</t>
    </r>
    <r>
      <rPr>
        <i/>
        <sz val="9"/>
        <color rgb="FF3E3E3E"/>
        <rFont val="Arial"/>
        <family val="2"/>
      </rPr>
      <t>c</t>
    </r>
    <r>
      <rPr>
        <sz val="9"/>
        <color rgb="FF3E3E3E"/>
        <rFont val="Arial"/>
        <family val="2"/>
      </rPr>
      <t>)</t>
    </r>
  </si>
  <si>
    <t>any allowance granted to meet the expenditure incurred on con-veyance in performance of duties of an office or employment of profit :</t>
  </si>
  <si>
    <t xml:space="preserve">Daily </t>
  </si>
  <si>
    <r>
      <t>(</t>
    </r>
    <r>
      <rPr>
        <i/>
        <sz val="9"/>
        <color rgb="FF3E3E3E"/>
        <rFont val="Arial"/>
        <family val="2"/>
      </rPr>
      <t>d</t>
    </r>
    <r>
      <rPr>
        <sz val="9"/>
        <color rgb="FF3E3E3E"/>
        <rFont val="Arial"/>
        <family val="2"/>
      </rPr>
      <t>)</t>
    </r>
  </si>
  <si>
    <t>any allowance granted to meet the expenditure incurred on a helper where such helper is engaged for the performance of the duties of an office or employment of profit;</t>
  </si>
  <si>
    <t>Helper</t>
  </si>
  <si>
    <r>
      <t>(</t>
    </r>
    <r>
      <rPr>
        <i/>
        <sz val="9"/>
        <color rgb="FF3E3E3E"/>
        <rFont val="Arial"/>
        <family val="2"/>
      </rPr>
      <t>e</t>
    </r>
    <r>
      <rPr>
        <sz val="9"/>
        <color rgb="FF3E3E3E"/>
        <rFont val="Arial"/>
        <family val="2"/>
      </rPr>
      <t>)</t>
    </r>
  </si>
  <si>
    <t>any allowance granted for encouraging the academic, research and training pursuits in educational and research institutions;</t>
  </si>
  <si>
    <t>Research</t>
  </si>
  <si>
    <r>
      <t>(</t>
    </r>
    <r>
      <rPr>
        <i/>
        <sz val="9"/>
        <color rgb="FF3E3E3E"/>
        <rFont val="Arial"/>
        <family val="2"/>
      </rPr>
      <t>f</t>
    </r>
    <r>
      <rPr>
        <sz val="9"/>
        <color rgb="FF3E3E3E"/>
        <rFont val="Arial"/>
        <family val="2"/>
      </rPr>
      <t>)</t>
    </r>
  </si>
  <si>
    <t>any allowance granted to meet the expenditure incurred on the purchase or maintenance of uniform for wear during the performance of the duties of an office or employment of profit.</t>
  </si>
  <si>
    <t>Uniform</t>
  </si>
  <si>
    <r>
      <t>Explanation</t>
    </r>
    <r>
      <rPr>
        <sz val="8"/>
        <color rgb="FF3E3E3E"/>
        <rFont val="Times New Roman"/>
        <family val="1"/>
      </rPr>
      <t> : For the purpose of clause (</t>
    </r>
    <r>
      <rPr>
        <i/>
        <sz val="8"/>
        <color rgb="FF3E3E3E"/>
        <rFont val="Times New Roman"/>
        <family val="1"/>
      </rPr>
      <t>a</t>
    </r>
    <r>
      <rPr>
        <sz val="8"/>
        <color rgb="FF3E3E3E"/>
        <rFont val="Times New Roman"/>
        <family val="1"/>
      </rPr>
      <t>), “allowance granted to meet the cost of travel on transfer” includes any sum paid in connection with transfer, packing and transportation of personal effects on such transfer.</t>
    </r>
  </si>
  <si>
    <t>for Clause © Provided that free conveyance is not provided by the employer;</t>
  </si>
  <si>
    <t xml:space="preserve">Granted </t>
  </si>
  <si>
    <t>Sec 10(14)(ii) : Exemption not dependent upon Actual Expenditure</t>
  </si>
  <si>
    <t>Lower of (a) Allowance Amount or (b) Amount specified in Rule 2BB</t>
  </si>
  <si>
    <t>Children Education  Allow</t>
  </si>
  <si>
    <t>Rs. 100 per month per child subject to max of  2 Children</t>
  </si>
  <si>
    <t>Hostel Expenditure Allow</t>
  </si>
  <si>
    <t>Rs. 300 per month per child subject to max of  2 Children</t>
  </si>
  <si>
    <t>Border Area Allowance</t>
  </si>
  <si>
    <t>Range Rs. 200 per month to Rs. 1300 per month</t>
  </si>
  <si>
    <t>Tribal Area/Scheduled Area</t>
  </si>
  <si>
    <t>Rs. 200 per month</t>
  </si>
  <si>
    <t xml:space="preserve">High Altitude Allowance </t>
  </si>
  <si>
    <t xml:space="preserve">Rs. 1060 per month (Altitude 9000 to 15000 feet); 1600 pm (Above 15000 Feet) </t>
  </si>
  <si>
    <t xml:space="preserve">Island Duty Allowance </t>
  </si>
  <si>
    <t xml:space="preserve">Rs. 3250 per month  (Andaman &amp; Nocobar;  Lakshadweep) </t>
  </si>
  <si>
    <t xml:space="preserve">Highly Active Field </t>
  </si>
  <si>
    <t xml:space="preserve">Rs. 4200 per month </t>
  </si>
  <si>
    <t>Transport Allow (Sec 80U)</t>
  </si>
  <si>
    <t xml:space="preserve">Rs. 3200 per month </t>
  </si>
  <si>
    <t xml:space="preserve">Sec 17 (1) </t>
  </si>
  <si>
    <t>Less Allowances u/s 10</t>
  </si>
  <si>
    <t xml:space="preserve">Less Deds u/s 16 </t>
  </si>
  <si>
    <t xml:space="preserve">Basic Salary </t>
  </si>
  <si>
    <t xml:space="preserve">Sec 10(5) Leave Travel </t>
  </si>
  <si>
    <t xml:space="preserve">Std Ded  u/s 16 (ia) </t>
  </si>
  <si>
    <t>Dearness Allowance</t>
  </si>
  <si>
    <t>Sec 10(13A) HRA</t>
  </si>
  <si>
    <t>Employment Tax</t>
  </si>
  <si>
    <t xml:space="preserve">Sec 10(14)(i) Conveyance </t>
  </si>
  <si>
    <t>Sec 10(14)(iI) CEA</t>
  </si>
  <si>
    <t>Leave Travel Allowance</t>
  </si>
  <si>
    <t>Children Edu Allowance</t>
  </si>
  <si>
    <t>Other Allowances</t>
  </si>
  <si>
    <t xml:space="preserve">Sec 17 (2) Perks </t>
  </si>
  <si>
    <t xml:space="preserve">Accommodation </t>
  </si>
  <si>
    <t xml:space="preserve">Car </t>
  </si>
  <si>
    <t>Others</t>
  </si>
  <si>
    <t xml:space="preserve">Sec 17 (3) Profit In lieu of Salary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</si>
</sst>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75" x14ac:knownFonts="1">
    <font>
      <sz val="10"/>
      <name val="Arial"/>
    </font>
    <font>
      <sz val="10"/>
      <name val="Arial"/>
      <family val="2"/>
    </font>
    <font>
      <b/>
      <sz val="8"/>
      <color rgb="FF2B0CE4"/>
      <name val="Arial"/>
      <family val="2"/>
    </font>
    <font>
      <sz val="11"/>
      <color theme="1"/>
      <name val="Arial"/>
      <family val="2"/>
    </font>
    <font>
      <sz val="10"/>
      <color rgb="FFC00000"/>
      <name val="Arial Narrow"/>
      <family val="2"/>
    </font>
    <font>
      <sz val="10"/>
      <color theme="1"/>
      <name val="Arial"/>
      <family val="2"/>
    </font>
    <font>
      <sz val="9"/>
      <color rgb="FF0000FF"/>
      <name val="Arial"/>
      <family val="2"/>
    </font>
    <font>
      <b/>
      <sz val="8"/>
      <color rgb="FFC00000"/>
      <name val="Arial"/>
      <family val="2"/>
    </font>
    <font>
      <b/>
      <sz val="9"/>
      <color theme="1"/>
      <name val="Arial"/>
      <family val="2"/>
    </font>
    <font>
      <sz val="8"/>
      <color theme="1"/>
      <name val="Arial"/>
      <family val="2"/>
    </font>
    <font>
      <sz val="10"/>
      <color rgb="FF0000FF"/>
      <name val="Arial"/>
      <family val="2"/>
    </font>
    <font>
      <sz val="9"/>
      <color rgb="FFC00000"/>
      <name val="Arial"/>
      <family val="2"/>
    </font>
    <font>
      <b/>
      <sz val="8"/>
      <color rgb="FF0000FF"/>
      <name val="Arial"/>
      <family val="2"/>
    </font>
    <font>
      <b/>
      <u/>
      <sz val="10"/>
      <color theme="1"/>
      <name val="Arial"/>
      <family val="2"/>
    </font>
    <font>
      <b/>
      <sz val="8"/>
      <color theme="1"/>
      <name val="Arial"/>
      <family val="2"/>
    </font>
    <font>
      <sz val="9"/>
      <color theme="1"/>
      <name val="Arial"/>
      <family val="2"/>
    </font>
    <font>
      <b/>
      <sz val="10"/>
      <color theme="1"/>
      <name val="Arial"/>
      <family val="2"/>
    </font>
    <font>
      <i/>
      <sz val="10"/>
      <color theme="1"/>
      <name val="Arial"/>
      <family val="2"/>
    </font>
    <font>
      <b/>
      <sz val="8"/>
      <name val="Arial"/>
      <family val="2"/>
    </font>
    <font>
      <i/>
      <sz val="9"/>
      <color theme="1"/>
      <name val="Arial"/>
      <family val="2"/>
    </font>
    <font>
      <b/>
      <sz val="10"/>
      <color rgb="FF0000FF"/>
      <name val="Arial"/>
      <family val="2"/>
    </font>
    <font>
      <sz val="8"/>
      <color rgb="FF7030A0"/>
      <name val="Arial"/>
      <family val="2"/>
    </font>
    <font>
      <sz val="9"/>
      <color rgb="FF7030A0"/>
      <name val="Arial"/>
      <family val="2"/>
    </font>
    <font>
      <sz val="9"/>
      <name val="Arial"/>
      <family val="2"/>
    </font>
    <font>
      <sz val="10"/>
      <color rgb="FF7030A0"/>
      <name val="Arial"/>
      <family val="2"/>
    </font>
    <font>
      <b/>
      <sz val="9"/>
      <color rgb="FF0000FF"/>
      <name val="Arial"/>
      <family val="2"/>
    </font>
    <font>
      <b/>
      <sz val="9"/>
      <color rgb="FFC00000"/>
      <name val="Arial"/>
      <family val="2"/>
    </font>
    <font>
      <sz val="9"/>
      <color theme="7" tint="-0.249977111117893"/>
      <name val="Arial"/>
      <family val="2"/>
    </font>
    <font>
      <sz val="10"/>
      <color theme="5" tint="-0.249977111117893"/>
      <name val="Arial"/>
      <family val="2"/>
    </font>
    <font>
      <u/>
      <sz val="10"/>
      <color theme="10"/>
      <name val="Arial"/>
      <family val="2"/>
    </font>
    <font>
      <sz val="9"/>
      <color rgb="FFFF0000"/>
      <name val="Arial"/>
      <family val="2"/>
    </font>
    <font>
      <sz val="8"/>
      <color theme="1"/>
      <name val="Arial Narrow"/>
      <family val="2"/>
    </font>
    <font>
      <u/>
      <sz val="10"/>
      <color theme="1"/>
      <name val="Arial"/>
      <family val="2"/>
    </font>
    <font>
      <sz val="10"/>
      <color theme="3" tint="-0.249977111117893"/>
      <name val="Arial"/>
      <family val="2"/>
    </font>
    <font>
      <i/>
      <u/>
      <sz val="10"/>
      <color theme="1"/>
      <name val="Arial"/>
      <family val="2"/>
    </font>
    <font>
      <sz val="8"/>
      <color rgb="FF0000FF"/>
      <name val="Arial"/>
      <family val="2"/>
    </font>
    <font>
      <sz val="11"/>
      <color rgb="FF515656"/>
      <name val="Arial"/>
      <family val="2"/>
    </font>
    <font>
      <i/>
      <sz val="8"/>
      <color theme="1"/>
      <name val="Arial"/>
      <family val="2"/>
    </font>
    <font>
      <i/>
      <sz val="9"/>
      <color rgb="FFC00000"/>
      <name val="Arial"/>
      <family val="2"/>
    </font>
    <font>
      <b/>
      <sz val="10"/>
      <color rgb="FFC00000"/>
      <name val="Arial Narrow"/>
      <family val="2"/>
    </font>
    <font>
      <sz val="10"/>
      <color theme="1"/>
      <name val="Arial Narrow"/>
      <family val="2"/>
    </font>
    <font>
      <sz val="9"/>
      <color rgb="FF00B0F0"/>
      <name val="Arial"/>
      <family val="2"/>
    </font>
    <font>
      <sz val="9"/>
      <color theme="1"/>
      <name val="Arial Narrow"/>
      <family val="2"/>
    </font>
    <font>
      <b/>
      <sz val="9"/>
      <color theme="7" tint="-0.249977111117893"/>
      <name val="Arial"/>
      <family val="2"/>
    </font>
    <font>
      <sz val="8"/>
      <color rgb="FF2B0CE4"/>
      <name val="Arial Narrow"/>
      <family val="2"/>
    </font>
    <font>
      <sz val="8"/>
      <name val="Arial"/>
      <family val="2"/>
    </font>
    <font>
      <sz val="9"/>
      <color theme="9" tint="-0.249977111117893"/>
      <name val="Arial"/>
      <family val="2"/>
    </font>
    <font>
      <sz val="8"/>
      <name val="Arial Narrow"/>
      <family val="2"/>
    </font>
    <font>
      <sz val="8"/>
      <color theme="5" tint="-0.249977111117893"/>
      <name val="Arial Narrow"/>
      <family val="2"/>
    </font>
    <font>
      <sz val="8"/>
      <color rgb="FF7030A0"/>
      <name val="Arial Narrow"/>
      <family val="2"/>
    </font>
    <font>
      <b/>
      <i/>
      <sz val="10"/>
      <color rgb="FF0000FF"/>
      <name val="Arial"/>
      <family val="2"/>
    </font>
    <font>
      <sz val="10"/>
      <color rgb="FFC00000"/>
      <name val="Arial"/>
      <family val="2"/>
    </font>
    <font>
      <b/>
      <sz val="10"/>
      <name val="Arial"/>
      <family val="2"/>
    </font>
    <font>
      <sz val="9"/>
      <color theme="8" tint="-0.249977111117893"/>
      <name val="Arial"/>
      <family val="2"/>
    </font>
    <font>
      <b/>
      <sz val="10"/>
      <color theme="4" tint="-0.249977111117893"/>
      <name val="Arial"/>
      <family val="2"/>
    </font>
    <font>
      <b/>
      <sz val="10"/>
      <color rgb="FFC00000"/>
      <name val="Arial"/>
      <family val="2"/>
    </font>
    <font>
      <b/>
      <sz val="10"/>
      <color indexed="12"/>
      <name val="Arial"/>
      <family val="2"/>
    </font>
    <font>
      <b/>
      <sz val="10"/>
      <color rgb="FF00B050"/>
      <name val="Arial"/>
      <family val="2"/>
    </font>
    <font>
      <b/>
      <sz val="9"/>
      <color theme="9" tint="-0.249977111117893"/>
      <name val="Arial"/>
      <family val="2"/>
    </font>
    <font>
      <sz val="10"/>
      <color indexed="12"/>
      <name val="Arial"/>
      <family val="2"/>
    </font>
    <font>
      <b/>
      <u/>
      <sz val="11"/>
      <color indexed="10"/>
      <name val="Arial"/>
      <family val="2"/>
    </font>
    <font>
      <i/>
      <sz val="10"/>
      <name val="Arial"/>
      <family val="2"/>
    </font>
    <font>
      <b/>
      <sz val="10"/>
      <color rgb="FFAA1695"/>
      <name val="Arial"/>
      <family val="2"/>
    </font>
    <font>
      <b/>
      <sz val="9"/>
      <color theme="5" tint="-0.249977111117893"/>
      <name val="Arial"/>
      <family val="2"/>
    </font>
    <font>
      <b/>
      <sz val="9"/>
      <color rgb="FFAA1695"/>
      <name val="Arial"/>
      <family val="2"/>
    </font>
    <font>
      <sz val="9"/>
      <color rgb="FF3E3E3E"/>
      <name val="Arial"/>
      <family val="2"/>
    </font>
    <font>
      <i/>
      <sz val="9"/>
      <color rgb="FF3E3E3E"/>
      <name val="Arial"/>
      <family val="2"/>
    </font>
    <font>
      <sz val="9"/>
      <color rgb="FF3E3E3E"/>
      <name val="Times New Roman"/>
      <family val="1"/>
    </font>
    <font>
      <i/>
      <sz val="8"/>
      <color rgb="FF3E3E3E"/>
      <name val="Times New Roman"/>
      <family val="1"/>
    </font>
    <font>
      <sz val="8"/>
      <color rgb="FF3E3E3E"/>
      <name val="Times New Roman"/>
      <family val="1"/>
    </font>
    <font>
      <b/>
      <sz val="10"/>
      <color theme="5" tint="-0.249977111117893"/>
      <name val="Arial"/>
      <family val="2"/>
    </font>
    <font>
      <sz val="12"/>
      <color theme="1"/>
      <name val="Arial"/>
      <family val="2"/>
    </font>
    <font>
      <sz val="11"/>
      <name val="Arial"/>
      <family val="2"/>
    </font>
    <font>
      <b/>
      <sz val="8"/>
      <color indexed="81"/>
      <name val="Tahoma"/>
      <family val="2"/>
    </font>
    <font>
      <sz val="8"/>
      <color indexed="81"/>
      <name val="Tahoma"/>
      <family val="2"/>
    </font>
  </fonts>
  <fills count="13">
    <fill>
      <patternFill patternType="none"/>
    </fill>
    <fill>
      <patternFill patternType="gray125"/>
    </fill>
    <fill>
      <patternFill patternType="solid">
        <fgColor theme="0" tint="-4.9989318521683403E-2"/>
        <bgColor indexed="64"/>
      </patternFill>
    </fill>
    <fill>
      <patternFill patternType="solid">
        <fgColor indexed="42"/>
        <bgColor indexed="64"/>
      </patternFill>
    </fill>
    <fill>
      <patternFill patternType="solid">
        <fgColor rgb="FFFFFF00"/>
        <bgColor indexed="64"/>
      </patternFill>
    </fill>
    <fill>
      <patternFill patternType="solid">
        <fgColor indexed="41"/>
        <bgColor indexed="64"/>
      </patternFill>
    </fill>
    <fill>
      <patternFill patternType="solid">
        <fgColor theme="8" tint="0.79998168889431442"/>
        <bgColor indexed="64"/>
      </patternFill>
    </fill>
    <fill>
      <patternFill patternType="solid">
        <fgColor theme="0"/>
        <bgColor indexed="64"/>
      </patternFill>
    </fill>
    <fill>
      <patternFill patternType="solid">
        <fgColor theme="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medium">
        <color indexed="64"/>
      </right>
      <top/>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top style="thin">
        <color indexed="64"/>
      </top>
      <bottom style="double">
        <color indexed="64"/>
      </bottom>
      <diagonal/>
    </border>
    <border>
      <left style="thin">
        <color indexed="64"/>
      </left>
      <right/>
      <top/>
      <bottom/>
      <diagonal/>
    </border>
    <border>
      <left style="thin">
        <color indexed="64"/>
      </left>
      <right/>
      <top style="thin">
        <color indexed="64"/>
      </top>
      <bottom/>
      <diagonal/>
    </border>
    <border>
      <left/>
      <right/>
      <top/>
      <bottom style="thin">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xf numFmtId="9" fontId="1" fillId="0" borderId="0" applyFont="0" applyFill="0" applyBorder="0" applyAlignment="0" applyProtection="0"/>
    <xf numFmtId="0" fontId="1" fillId="0" borderId="0"/>
    <xf numFmtId="0" fontId="29" fillId="0" borderId="0" applyNumberFormat="0" applyFill="0" applyBorder="0" applyAlignment="0" applyProtection="0"/>
    <xf numFmtId="9" fontId="1" fillId="0" borderId="0" applyFont="0" applyFill="0" applyBorder="0" applyAlignment="0" applyProtection="0"/>
  </cellStyleXfs>
  <cellXfs count="307">
    <xf numFmtId="0" fontId="0" fillId="0" borderId="0" xfId="0"/>
    <xf numFmtId="0" fontId="2" fillId="0" borderId="1" xfId="2" applyFont="1" applyBorder="1" applyAlignment="1">
      <alignment horizontal="center" shrinkToFit="1"/>
    </xf>
    <xf numFmtId="0" fontId="2" fillId="0" borderId="2" xfId="2" applyFont="1" applyBorder="1" applyAlignment="1">
      <alignment horizontal="center" shrinkToFit="1"/>
    </xf>
    <xf numFmtId="0" fontId="3" fillId="0" borderId="2" xfId="2" applyFont="1" applyBorder="1" applyAlignment="1">
      <alignment horizontal="center"/>
    </xf>
    <xf numFmtId="0" fontId="3" fillId="0" borderId="3" xfId="2" applyFont="1" applyBorder="1" applyAlignment="1">
      <alignment horizontal="center"/>
    </xf>
    <xf numFmtId="0" fontId="4" fillId="0" borderId="4" xfId="0" applyFont="1" applyBorder="1" applyAlignment="1">
      <alignment horizontal="center"/>
    </xf>
    <xf numFmtId="0" fontId="4" fillId="0" borderId="0" xfId="0" applyFont="1" applyAlignment="1">
      <alignment horizontal="center"/>
    </xf>
    <xf numFmtId="0" fontId="5" fillId="0" borderId="0" xfId="0" applyFont="1" applyAlignment="1">
      <alignment horizontal="center"/>
    </xf>
    <xf numFmtId="0" fontId="6" fillId="0" borderId="5" xfId="0" applyFont="1" applyBorder="1" applyAlignment="1">
      <alignment horizontal="center"/>
    </xf>
    <xf numFmtId="0" fontId="3" fillId="0" borderId="0" xfId="0" applyFont="1"/>
    <xf numFmtId="0" fontId="7" fillId="0" borderId="6" xfId="2" applyFont="1" applyBorder="1" applyAlignment="1">
      <alignment horizontal="center" shrinkToFit="1"/>
    </xf>
    <xf numFmtId="0" fontId="7" fillId="0" borderId="7" xfId="2" applyFont="1" applyBorder="1" applyAlignment="1">
      <alignment horizontal="center" shrinkToFit="1"/>
    </xf>
    <xf numFmtId="0" fontId="8" fillId="0" borderId="7" xfId="2" applyFont="1" applyBorder="1" applyAlignment="1">
      <alignment horizontal="center"/>
    </xf>
    <xf numFmtId="0" fontId="9" fillId="0" borderId="7" xfId="2" applyFont="1" applyBorder="1" applyAlignment="1">
      <alignment horizontal="center"/>
    </xf>
    <xf numFmtId="0" fontId="10" fillId="0" borderId="7" xfId="2" applyFont="1" applyBorder="1" applyAlignment="1">
      <alignment horizontal="center"/>
    </xf>
    <xf numFmtId="15" fontId="11" fillId="0" borderId="7" xfId="2" applyNumberFormat="1" applyFont="1" applyBorder="1" applyAlignment="1">
      <alignment horizontal="center"/>
    </xf>
    <xf numFmtId="1" fontId="12" fillId="2" borderId="8" xfId="0" applyNumberFormat="1" applyFont="1" applyFill="1" applyBorder="1" applyAlignment="1">
      <alignment horizontal="center" shrinkToFit="1"/>
    </xf>
    <xf numFmtId="0" fontId="9" fillId="0" borderId="0" xfId="0" applyFont="1" applyAlignment="1">
      <alignment horizontal="left"/>
    </xf>
    <xf numFmtId="0" fontId="5" fillId="0" borderId="0" xfId="0" applyFont="1"/>
    <xf numFmtId="15" fontId="6" fillId="0" borderId="9" xfId="0" applyNumberFormat="1" applyFont="1" applyBorder="1" applyAlignment="1">
      <alignment horizontal="center"/>
    </xf>
    <xf numFmtId="1" fontId="9" fillId="0" borderId="4" xfId="0" applyNumberFormat="1" applyFont="1" applyBorder="1" applyAlignment="1">
      <alignment shrinkToFit="1"/>
    </xf>
    <xf numFmtId="0" fontId="13" fillId="0" borderId="0" xfId="0" applyFont="1"/>
    <xf numFmtId="0" fontId="5" fillId="0" borderId="10" xfId="0" applyFont="1" applyBorder="1"/>
    <xf numFmtId="0" fontId="14" fillId="0" borderId="0" xfId="0" applyFont="1" applyAlignment="1">
      <alignment horizontal="center"/>
    </xf>
    <xf numFmtId="0" fontId="14" fillId="0" borderId="11" xfId="0" applyFont="1" applyBorder="1" applyAlignment="1">
      <alignment horizontal="center"/>
    </xf>
    <xf numFmtId="1" fontId="5" fillId="0" borderId="0" xfId="0" applyNumberFormat="1" applyFont="1"/>
    <xf numFmtId="3" fontId="5" fillId="0" borderId="0" xfId="0" applyNumberFormat="1" applyFont="1"/>
    <xf numFmtId="0" fontId="11" fillId="0" borderId="9" xfId="0" applyFont="1" applyBorder="1" applyAlignment="1">
      <alignment horizontal="center"/>
    </xf>
    <xf numFmtId="0" fontId="9" fillId="0" borderId="4" xfId="0" applyFont="1" applyBorder="1" applyAlignment="1">
      <alignment shrinkToFit="1"/>
    </xf>
    <xf numFmtId="0" fontId="9" fillId="0" borderId="0" xfId="0" applyFont="1"/>
    <xf numFmtId="0" fontId="15" fillId="0" borderId="0" xfId="0" applyFont="1" applyAlignment="1">
      <alignment horizontal="left"/>
    </xf>
    <xf numFmtId="1" fontId="5" fillId="3" borderId="10" xfId="0" applyNumberFormat="1" applyFont="1" applyFill="1" applyBorder="1"/>
    <xf numFmtId="1" fontId="16" fillId="0" borderId="0" xfId="0" applyNumberFormat="1" applyFont="1"/>
    <xf numFmtId="1" fontId="16" fillId="0" borderId="11" xfId="0" applyNumberFormat="1" applyFont="1" applyBorder="1"/>
    <xf numFmtId="15" fontId="11" fillId="0" borderId="9" xfId="0" applyNumberFormat="1" applyFont="1" applyBorder="1" applyAlignment="1">
      <alignment horizontal="center"/>
    </xf>
    <xf numFmtId="0" fontId="9" fillId="0" borderId="9" xfId="0" applyFont="1" applyBorder="1" applyAlignment="1">
      <alignment horizontal="center"/>
    </xf>
    <xf numFmtId="1" fontId="5" fillId="3" borderId="12" xfId="0" applyNumberFormat="1" applyFont="1" applyFill="1" applyBorder="1"/>
    <xf numFmtId="0" fontId="5" fillId="0" borderId="0" xfId="0" applyFont="1" applyAlignment="1">
      <alignment horizontal="right"/>
    </xf>
    <xf numFmtId="15" fontId="15" fillId="0" borderId="13" xfId="0" applyNumberFormat="1" applyFont="1" applyBorder="1" applyAlignment="1">
      <alignment horizontal="center"/>
    </xf>
    <xf numFmtId="0" fontId="17" fillId="0" borderId="0" xfId="0" applyFont="1" applyAlignment="1">
      <alignment horizontal="right"/>
    </xf>
    <xf numFmtId="1" fontId="5" fillId="0" borderId="14" xfId="0" applyNumberFormat="1" applyFont="1" applyBorder="1"/>
    <xf numFmtId="0" fontId="18" fillId="4" borderId="5" xfId="0" applyFont="1" applyFill="1" applyBorder="1" applyAlignment="1">
      <alignment horizontal="center"/>
    </xf>
    <xf numFmtId="0" fontId="19" fillId="0" borderId="0" xfId="0" applyFont="1"/>
    <xf numFmtId="0" fontId="20" fillId="0" borderId="15" xfId="0" applyFont="1" applyBorder="1" applyAlignment="1">
      <alignment horizontal="right" vertical="center"/>
    </xf>
    <xf numFmtId="17" fontId="21" fillId="0" borderId="9" xfId="0" applyNumberFormat="1" applyFont="1" applyBorder="1" applyAlignment="1">
      <alignment horizontal="center"/>
    </xf>
    <xf numFmtId="1" fontId="5" fillId="0" borderId="10" xfId="0" applyNumberFormat="1" applyFont="1" applyBorder="1"/>
    <xf numFmtId="0" fontId="22" fillId="0" borderId="13" xfId="0" applyFont="1" applyBorder="1" applyAlignment="1">
      <alignment horizontal="center"/>
    </xf>
    <xf numFmtId="0" fontId="15" fillId="0" borderId="0" xfId="0" applyFont="1"/>
    <xf numFmtId="0" fontId="6" fillId="0" borderId="0" xfId="0" applyFont="1" applyAlignment="1">
      <alignment vertical="top"/>
    </xf>
    <xf numFmtId="0" fontId="8" fillId="0" borderId="0" xfId="0" applyFont="1"/>
    <xf numFmtId="0" fontId="23" fillId="0" borderId="0" xfId="0" applyFont="1" applyAlignment="1">
      <alignment horizontal="left"/>
    </xf>
    <xf numFmtId="0" fontId="5" fillId="0" borderId="0" xfId="0" applyFont="1" applyAlignment="1">
      <alignment horizontal="left"/>
    </xf>
    <xf numFmtId="0" fontId="5" fillId="5" borderId="0" xfId="0" applyFont="1" applyFill="1" applyAlignment="1">
      <alignment horizontal="right"/>
    </xf>
    <xf numFmtId="1" fontId="16" fillId="0" borderId="16" xfId="0" applyNumberFormat="1" applyFont="1" applyBorder="1"/>
    <xf numFmtId="0" fontId="5" fillId="5" borderId="12" xfId="0" applyFont="1" applyFill="1" applyBorder="1"/>
    <xf numFmtId="0" fontId="24" fillId="0" borderId="0" xfId="0" applyFont="1"/>
    <xf numFmtId="0" fontId="25" fillId="6" borderId="1" xfId="0" applyFont="1" applyFill="1" applyBorder="1" applyAlignment="1">
      <alignment horizontal="center"/>
    </xf>
    <xf numFmtId="0" fontId="25" fillId="6" borderId="2" xfId="0" applyFont="1" applyFill="1" applyBorder="1" applyAlignment="1">
      <alignment horizontal="center"/>
    </xf>
    <xf numFmtId="0" fontId="25" fillId="6" borderId="3" xfId="0" applyFont="1" applyFill="1" applyBorder="1" applyAlignment="1">
      <alignment horizontal="center"/>
    </xf>
    <xf numFmtId="0" fontId="28" fillId="0" borderId="0" xfId="0" applyFont="1"/>
    <xf numFmtId="0" fontId="28" fillId="6" borderId="4" xfId="0" applyFont="1" applyFill="1" applyBorder="1"/>
    <xf numFmtId="0" fontId="5" fillId="6" borderId="0" xfId="0" applyFont="1" applyFill="1"/>
    <xf numFmtId="3" fontId="5" fillId="6" borderId="0" xfId="0" applyNumberFormat="1" applyFont="1" applyFill="1"/>
    <xf numFmtId="0" fontId="5" fillId="6" borderId="11" xfId="0" applyFont="1" applyFill="1" applyBorder="1"/>
    <xf numFmtId="15" fontId="6" fillId="0" borderId="0" xfId="2" applyNumberFormat="1" applyFont="1" applyAlignment="1">
      <alignment horizontal="center"/>
    </xf>
    <xf numFmtId="0" fontId="15" fillId="0" borderId="0" xfId="0" applyFont="1" applyAlignment="1">
      <alignment horizontal="left" indent="1"/>
    </xf>
    <xf numFmtId="0" fontId="6" fillId="0" borderId="0" xfId="0" applyFont="1" applyAlignment="1">
      <alignment horizontal="center"/>
    </xf>
    <xf numFmtId="0" fontId="19" fillId="0" borderId="0" xfId="0" applyFont="1" applyAlignment="1">
      <alignment horizontal="left" indent="1"/>
    </xf>
    <xf numFmtId="0" fontId="6" fillId="6" borderId="4" xfId="0" applyFont="1" applyFill="1" applyBorder="1" applyAlignment="1">
      <alignment vertical="top"/>
    </xf>
    <xf numFmtId="0" fontId="29" fillId="6" borderId="6" xfId="3" applyFill="1" applyBorder="1"/>
    <xf numFmtId="0" fontId="30" fillId="6" borderId="7" xfId="0" applyFont="1" applyFill="1" applyBorder="1"/>
    <xf numFmtId="0" fontId="30" fillId="6" borderId="7" xfId="0" applyFont="1" applyFill="1" applyBorder="1" applyAlignment="1">
      <alignment horizontal="center"/>
    </xf>
    <xf numFmtId="0" fontId="5" fillId="6" borderId="8" xfId="0" applyFont="1" applyFill="1" applyBorder="1"/>
    <xf numFmtId="0" fontId="31" fillId="0" borderId="0" xfId="0" applyFont="1" applyAlignment="1">
      <alignment horizontal="center"/>
    </xf>
    <xf numFmtId="0" fontId="5" fillId="5" borderId="0" xfId="0" applyFont="1" applyFill="1"/>
    <xf numFmtId="1" fontId="5" fillId="5" borderId="0" xfId="0" applyNumberFormat="1" applyFont="1" applyFill="1"/>
    <xf numFmtId="0" fontId="10" fillId="0" borderId="0" xfId="0" applyFont="1" applyAlignment="1">
      <alignment horizontal="center"/>
    </xf>
    <xf numFmtId="14" fontId="12" fillId="0" borderId="0" xfId="0" applyNumberFormat="1" applyFont="1" applyAlignment="1">
      <alignment horizontal="center"/>
    </xf>
    <xf numFmtId="14" fontId="15" fillId="0" borderId="0" xfId="0" applyNumberFormat="1" applyFont="1" applyAlignment="1">
      <alignment horizontal="center"/>
    </xf>
    <xf numFmtId="0" fontId="6" fillId="0" borderId="0" xfId="0" applyFont="1"/>
    <xf numFmtId="0" fontId="17" fillId="0" borderId="0" xfId="0" applyFont="1" applyAlignment="1">
      <alignment horizontal="center"/>
    </xf>
    <xf numFmtId="1" fontId="5" fillId="5" borderId="12" xfId="0" applyNumberFormat="1" applyFont="1" applyFill="1" applyBorder="1"/>
    <xf numFmtId="1" fontId="16" fillId="0" borderId="17" xfId="0" applyNumberFormat="1" applyFont="1" applyBorder="1"/>
    <xf numFmtId="1" fontId="20" fillId="0" borderId="11" xfId="0" applyNumberFormat="1" applyFont="1" applyBorder="1"/>
    <xf numFmtId="0" fontId="32" fillId="0" borderId="0" xfId="0" applyFont="1"/>
    <xf numFmtId="0" fontId="33" fillId="0" borderId="0" xfId="0" applyFont="1"/>
    <xf numFmtId="0" fontId="34" fillId="0" borderId="0" xfId="0" applyFont="1"/>
    <xf numFmtId="0" fontId="35" fillId="0" borderId="0" xfId="0" applyFont="1" applyAlignment="1">
      <alignment horizontal="center" vertical="top"/>
    </xf>
    <xf numFmtId="0" fontId="19" fillId="0" borderId="0" xfId="0" applyFont="1" applyAlignment="1">
      <alignment horizontal="center"/>
    </xf>
    <xf numFmtId="0" fontId="15" fillId="0" borderId="18" xfId="0" applyFont="1" applyBorder="1"/>
    <xf numFmtId="0" fontId="10" fillId="0" borderId="15" xfId="0" applyFont="1" applyBorder="1" applyAlignment="1">
      <alignment horizontal="right" vertical="top"/>
    </xf>
    <xf numFmtId="0" fontId="15" fillId="0" borderId="0" xfId="0" applyFont="1" applyAlignment="1">
      <alignment horizontal="center"/>
    </xf>
    <xf numFmtId="0" fontId="16" fillId="0" borderId="0" xfId="0" applyFont="1"/>
    <xf numFmtId="0" fontId="25" fillId="0" borderId="0" xfId="0" applyFont="1" applyAlignment="1">
      <alignment horizontal="center" vertical="top"/>
    </xf>
    <xf numFmtId="0" fontId="25" fillId="0" borderId="4" xfId="0" applyFont="1" applyBorder="1" applyAlignment="1">
      <alignment horizontal="center"/>
    </xf>
    <xf numFmtId="1" fontId="6" fillId="0" borderId="0" xfId="0" applyNumberFormat="1" applyFont="1" applyAlignment="1">
      <alignment horizontal="center"/>
    </xf>
    <xf numFmtId="0" fontId="36" fillId="0" borderId="0" xfId="0" applyFont="1"/>
    <xf numFmtId="0" fontId="16" fillId="0" borderId="0" xfId="0" applyFont="1" applyAlignment="1">
      <alignment vertical="center"/>
    </xf>
    <xf numFmtId="1" fontId="31" fillId="0" borderId="0" xfId="0" applyNumberFormat="1" applyFont="1" applyAlignment="1">
      <alignment horizontal="left"/>
    </xf>
    <xf numFmtId="0" fontId="31" fillId="0" borderId="0" xfId="0" applyFont="1" applyAlignment="1">
      <alignment horizontal="left"/>
    </xf>
    <xf numFmtId="0" fontId="9" fillId="0" borderId="0" xfId="0" applyFont="1" applyAlignment="1">
      <alignment horizontal="right"/>
    </xf>
    <xf numFmtId="1" fontId="16" fillId="4" borderId="19" xfId="0" applyNumberFormat="1" applyFont="1" applyFill="1" applyBorder="1"/>
    <xf numFmtId="1" fontId="16" fillId="4" borderId="20" xfId="0" applyNumberFormat="1" applyFont="1" applyFill="1" applyBorder="1"/>
    <xf numFmtId="0" fontId="8" fillId="0" borderId="0" xfId="0" applyFont="1" applyAlignment="1">
      <alignment horizontal="right"/>
    </xf>
    <xf numFmtId="0" fontId="8" fillId="0" borderId="0" xfId="0" applyFont="1" applyAlignment="1">
      <alignment horizontal="center"/>
    </xf>
    <xf numFmtId="0" fontId="15" fillId="0" borderId="16" xfId="0" applyFont="1" applyBorder="1"/>
    <xf numFmtId="0" fontId="15" fillId="0" borderId="11" xfId="0" applyFont="1" applyBorder="1"/>
    <xf numFmtId="0" fontId="5" fillId="0" borderId="0" xfId="0" applyFont="1" applyAlignment="1">
      <alignment horizontal="left" indent="1"/>
    </xf>
    <xf numFmtId="9" fontId="5" fillId="0" borderId="0" xfId="0" applyNumberFormat="1" applyFont="1" applyAlignment="1">
      <alignment horizontal="center"/>
    </xf>
    <xf numFmtId="0" fontId="9" fillId="0" borderId="0" xfId="0" applyFont="1" applyAlignment="1">
      <alignment shrinkToFit="1"/>
    </xf>
    <xf numFmtId="0" fontId="37" fillId="0" borderId="0" xfId="0" applyFont="1" applyAlignment="1">
      <alignment horizontal="right"/>
    </xf>
    <xf numFmtId="0" fontId="25" fillId="0" borderId="0" xfId="0" applyFont="1" applyAlignment="1">
      <alignment horizontal="center"/>
    </xf>
    <xf numFmtId="9" fontId="15" fillId="0" borderId="0" xfId="0" applyNumberFormat="1" applyFont="1" applyAlignment="1">
      <alignment horizontal="center"/>
    </xf>
    <xf numFmtId="0" fontId="5" fillId="0" borderId="16" xfId="0" applyFont="1" applyBorder="1"/>
    <xf numFmtId="0" fontId="5" fillId="0" borderId="11" xfId="0" applyFont="1" applyBorder="1"/>
    <xf numFmtId="1" fontId="16" fillId="0" borderId="16" xfId="0" applyNumberFormat="1" applyFont="1" applyBorder="1" applyAlignment="1">
      <alignment horizontal="right"/>
    </xf>
    <xf numFmtId="1" fontId="16" fillId="0" borderId="11" xfId="0" applyNumberFormat="1" applyFont="1" applyBorder="1" applyAlignment="1">
      <alignment horizontal="right"/>
    </xf>
    <xf numFmtId="0" fontId="16" fillId="7" borderId="15" xfId="0" applyFont="1" applyFill="1" applyBorder="1"/>
    <xf numFmtId="0" fontId="5" fillId="0" borderId="12" xfId="0" applyFont="1" applyBorder="1" applyAlignment="1">
      <alignment horizontal="right"/>
    </xf>
    <xf numFmtId="1" fontId="5" fillId="0" borderId="16" xfId="0" applyNumberFormat="1" applyFont="1" applyBorder="1" applyAlignment="1">
      <alignment horizontal="right"/>
    </xf>
    <xf numFmtId="1" fontId="5" fillId="0" borderId="11" xfId="0" applyNumberFormat="1" applyFont="1" applyBorder="1" applyAlignment="1">
      <alignment horizontal="right"/>
    </xf>
    <xf numFmtId="9" fontId="10" fillId="0" borderId="0" xfId="0" applyNumberFormat="1" applyFont="1" applyAlignment="1">
      <alignment horizontal="center"/>
    </xf>
    <xf numFmtId="1" fontId="5" fillId="0" borderId="21" xfId="0" applyNumberFormat="1" applyFont="1" applyBorder="1" applyAlignment="1">
      <alignment horizontal="right"/>
    </xf>
    <xf numFmtId="1" fontId="5" fillId="0" borderId="22" xfId="0" applyNumberFormat="1" applyFont="1" applyBorder="1" applyAlignment="1">
      <alignment horizontal="right"/>
    </xf>
    <xf numFmtId="0" fontId="5" fillId="8" borderId="0" xfId="0" applyFont="1" applyFill="1" applyAlignment="1">
      <alignment horizontal="left"/>
    </xf>
    <xf numFmtId="0" fontId="15" fillId="8" borderId="0" xfId="0" applyFont="1" applyFill="1" applyAlignment="1">
      <alignment horizontal="center"/>
    </xf>
    <xf numFmtId="1" fontId="15" fillId="8" borderId="0" xfId="0" applyNumberFormat="1" applyFont="1" applyFill="1" applyAlignment="1">
      <alignment horizontal="left" indent="1"/>
    </xf>
    <xf numFmtId="1" fontId="5" fillId="8" borderId="0" xfId="0" applyNumberFormat="1" applyFont="1" applyFill="1"/>
    <xf numFmtId="1" fontId="15" fillId="8" borderId="0" xfId="0" applyNumberFormat="1" applyFont="1" applyFill="1"/>
    <xf numFmtId="0" fontId="31" fillId="0" borderId="0" xfId="0" applyFont="1"/>
    <xf numFmtId="1" fontId="38" fillId="0" borderId="0" xfId="0" applyNumberFormat="1" applyFont="1"/>
    <xf numFmtId="164" fontId="20" fillId="0" borderId="0" xfId="0" applyNumberFormat="1" applyFont="1" applyAlignment="1">
      <alignment horizontal="center"/>
    </xf>
    <xf numFmtId="0" fontId="39" fillId="0" borderId="0" xfId="0" applyFont="1" applyAlignment="1">
      <alignment horizontal="right"/>
    </xf>
    <xf numFmtId="0" fontId="35" fillId="0" borderId="0" xfId="0" applyFont="1" applyAlignment="1">
      <alignment horizontal="right"/>
    </xf>
    <xf numFmtId="1" fontId="5" fillId="0" borderId="21" xfId="0" applyNumberFormat="1" applyFont="1" applyBorder="1"/>
    <xf numFmtId="1" fontId="5" fillId="0" borderId="22" xfId="0" applyNumberFormat="1" applyFont="1" applyBorder="1"/>
    <xf numFmtId="1" fontId="15" fillId="0" borderId="0" xfId="0" applyNumberFormat="1" applyFont="1"/>
    <xf numFmtId="0" fontId="40" fillId="0" borderId="0" xfId="0" applyFont="1" applyAlignment="1">
      <alignment horizontal="left" shrinkToFit="1"/>
    </xf>
    <xf numFmtId="0" fontId="40" fillId="0" borderId="0" xfId="0" applyFont="1" applyAlignment="1">
      <alignment horizontal="left" shrinkToFit="1"/>
    </xf>
    <xf numFmtId="0" fontId="20" fillId="0" borderId="0" xfId="0" applyFont="1"/>
    <xf numFmtId="1" fontId="41" fillId="0" borderId="0" xfId="0" applyNumberFormat="1" applyFont="1" applyAlignment="1">
      <alignment horizontal="center"/>
    </xf>
    <xf numFmtId="0" fontId="42" fillId="0" borderId="0" xfId="0" applyFont="1" applyAlignment="1">
      <alignment horizontal="left" shrinkToFit="1"/>
    </xf>
    <xf numFmtId="1" fontId="25" fillId="0" borderId="0" xfId="0" applyNumberFormat="1" applyFont="1" applyAlignment="1">
      <alignment horizontal="right"/>
    </xf>
    <xf numFmtId="0" fontId="5" fillId="0" borderId="18" xfId="0" applyFont="1" applyBorder="1"/>
    <xf numFmtId="0" fontId="15" fillId="0" borderId="0" xfId="0" applyFont="1" applyAlignment="1">
      <alignment horizontal="left" indent="11"/>
    </xf>
    <xf numFmtId="1" fontId="9" fillId="0" borderId="23" xfId="0" applyNumberFormat="1" applyFont="1" applyBorder="1" applyAlignment="1">
      <alignment shrinkToFit="1"/>
    </xf>
    <xf numFmtId="0" fontId="16" fillId="0" borderId="24" xfId="0" applyFont="1" applyBorder="1"/>
    <xf numFmtId="0" fontId="5" fillId="0" borderId="24" xfId="0" applyFont="1" applyBorder="1"/>
    <xf numFmtId="0" fontId="43" fillId="0" borderId="24" xfId="0" applyFont="1" applyBorder="1"/>
    <xf numFmtId="0" fontId="31" fillId="0" borderId="24" xfId="0" applyFont="1" applyBorder="1" applyAlignment="1">
      <alignment horizontal="left"/>
    </xf>
    <xf numFmtId="0" fontId="5" fillId="0" borderId="24" xfId="0" applyFont="1" applyBorder="1" applyAlignment="1">
      <alignment horizontal="center"/>
    </xf>
    <xf numFmtId="1" fontId="16" fillId="4" borderId="25" xfId="2" applyNumberFormat="1" applyFont="1" applyFill="1" applyBorder="1"/>
    <xf numFmtId="1" fontId="16" fillId="4" borderId="26" xfId="2" applyNumberFormat="1" applyFont="1" applyFill="1" applyBorder="1"/>
    <xf numFmtId="0" fontId="44" fillId="0" borderId="1" xfId="0" applyFont="1" applyBorder="1" applyAlignment="1">
      <alignment horizontal="center"/>
    </xf>
    <xf numFmtId="0" fontId="44" fillId="0" borderId="2" xfId="0" applyFont="1" applyBorder="1" applyAlignment="1">
      <alignment horizontal="center"/>
    </xf>
    <xf numFmtId="0" fontId="44" fillId="0" borderId="3" xfId="0" applyFont="1" applyBorder="1" applyAlignment="1">
      <alignment horizontal="center"/>
    </xf>
    <xf numFmtId="14" fontId="45" fillId="0" borderId="6" xfId="0" applyNumberFormat="1" applyFont="1" applyBorder="1" applyAlignment="1">
      <alignment horizontal="center" shrinkToFit="1"/>
    </xf>
    <xf numFmtId="0" fontId="45" fillId="0" borderId="7" xfId="0" applyFont="1" applyBorder="1" applyAlignment="1">
      <alignment horizontal="center" shrinkToFit="1"/>
    </xf>
    <xf numFmtId="0" fontId="46" fillId="0" borderId="7" xfId="0" applyFont="1" applyBorder="1"/>
    <xf numFmtId="0" fontId="47" fillId="0" borderId="7" xfId="0" applyFont="1" applyBorder="1" applyAlignment="1">
      <alignment horizontal="center"/>
    </xf>
    <xf numFmtId="0" fontId="48" fillId="0" borderId="7" xfId="0" applyFont="1" applyBorder="1" applyAlignment="1">
      <alignment horizontal="center"/>
    </xf>
    <xf numFmtId="0" fontId="49" fillId="0" borderId="7" xfId="0" applyFont="1" applyBorder="1" applyAlignment="1">
      <alignment horizontal="center"/>
    </xf>
    <xf numFmtId="0" fontId="49" fillId="0" borderId="8" xfId="0" applyFont="1" applyBorder="1" applyAlignment="1">
      <alignment horizontal="center"/>
    </xf>
    <xf numFmtId="0" fontId="20" fillId="0" borderId="15" xfId="0" applyFont="1" applyBorder="1"/>
    <xf numFmtId="0" fontId="45" fillId="0" borderId="0" xfId="0" applyFont="1" applyAlignment="1">
      <alignment shrinkToFit="1"/>
    </xf>
    <xf numFmtId="0" fontId="45" fillId="0" borderId="0" xfId="0" applyFont="1"/>
    <xf numFmtId="1" fontId="17" fillId="0" borderId="0" xfId="0" applyNumberFormat="1" applyFont="1"/>
    <xf numFmtId="0" fontId="45" fillId="0" borderId="0" xfId="0" applyFont="1" applyAlignment="1">
      <alignment horizontal="left" indent="1"/>
    </xf>
    <xf numFmtId="0" fontId="17" fillId="0" borderId="0" xfId="0" applyFont="1"/>
    <xf numFmtId="0" fontId="35" fillId="0" borderId="0" xfId="0" applyFont="1" applyAlignment="1">
      <alignment shrinkToFit="1"/>
    </xf>
    <xf numFmtId="0" fontId="10" fillId="0" borderId="0" xfId="0" applyFont="1"/>
    <xf numFmtId="0" fontId="35" fillId="0" borderId="0" xfId="0" applyFont="1"/>
    <xf numFmtId="0" fontId="35" fillId="0" borderId="0" xfId="0" applyFont="1" applyAlignment="1">
      <alignment horizontal="left" indent="1"/>
    </xf>
    <xf numFmtId="1" fontId="50" fillId="0" borderId="15" xfId="0" applyNumberFormat="1" applyFont="1" applyBorder="1"/>
    <xf numFmtId="0" fontId="11" fillId="0" borderId="0" xfId="0" applyFont="1"/>
    <xf numFmtId="0" fontId="11" fillId="0" borderId="0" xfId="0" applyFont="1" applyAlignment="1">
      <alignment horizontal="left" indent="1"/>
    </xf>
    <xf numFmtId="0" fontId="51" fillId="0" borderId="0" xfId="0" applyFont="1" applyAlignment="1">
      <alignment horizontal="center"/>
    </xf>
    <xf numFmtId="0" fontId="52" fillId="9" borderId="1" xfId="2" applyFont="1" applyFill="1" applyBorder="1" applyAlignment="1">
      <alignment horizontal="center"/>
    </xf>
    <xf numFmtId="0" fontId="52" fillId="9" borderId="3" xfId="2" applyFont="1" applyFill="1" applyBorder="1" applyAlignment="1">
      <alignment horizontal="center"/>
    </xf>
    <xf numFmtId="0" fontId="51" fillId="0" borderId="0" xfId="0" applyFont="1"/>
    <xf numFmtId="0" fontId="6" fillId="0" borderId="0" xfId="0" applyFont="1" applyAlignment="1">
      <alignment horizontal="left" indent="1"/>
    </xf>
    <xf numFmtId="0" fontId="1" fillId="0" borderId="0" xfId="0" applyFont="1" applyAlignment="1">
      <alignment horizontal="left"/>
    </xf>
    <xf numFmtId="1" fontId="1" fillId="0" borderId="0" xfId="0" applyNumberFormat="1" applyFont="1"/>
    <xf numFmtId="0" fontId="1" fillId="9" borderId="4" xfId="2" applyFill="1" applyBorder="1" applyAlignment="1">
      <alignment horizontal="left" indent="1"/>
    </xf>
    <xf numFmtId="0" fontId="1" fillId="9" borderId="11" xfId="2" applyFill="1" applyBorder="1" applyAlignment="1">
      <alignment horizontal="center"/>
    </xf>
    <xf numFmtId="0" fontId="46" fillId="0" borderId="0" xfId="0" applyFont="1"/>
    <xf numFmtId="0" fontId="46" fillId="0" borderId="0" xfId="0" applyFont="1" applyAlignment="1">
      <alignment horizontal="left" indent="1"/>
    </xf>
    <xf numFmtId="1" fontId="10" fillId="0" borderId="0" xfId="0" applyNumberFormat="1" applyFont="1" applyAlignment="1">
      <alignment horizontal="center"/>
    </xf>
    <xf numFmtId="0" fontId="5" fillId="0" borderId="0" xfId="0" applyFont="1" applyAlignment="1">
      <alignment horizontal="left"/>
    </xf>
    <xf numFmtId="9" fontId="1" fillId="9" borderId="11" xfId="1" applyFont="1" applyFill="1" applyBorder="1" applyAlignment="1">
      <alignment horizontal="center"/>
    </xf>
    <xf numFmtId="0" fontId="53" fillId="0" borderId="0" xfId="0" applyFont="1"/>
    <xf numFmtId="1" fontId="5" fillId="0" borderId="18" xfId="0" applyNumberFormat="1" applyFont="1" applyBorder="1"/>
    <xf numFmtId="0" fontId="53" fillId="0" borderId="0" xfId="0" applyFont="1" applyAlignment="1">
      <alignment horizontal="left" indent="1"/>
    </xf>
    <xf numFmtId="1" fontId="20" fillId="0" borderId="15" xfId="0" applyNumberFormat="1" applyFont="1" applyBorder="1" applyAlignment="1">
      <alignment horizontal="center"/>
    </xf>
    <xf numFmtId="0" fontId="5" fillId="0" borderId="15" xfId="0" applyFont="1" applyBorder="1"/>
    <xf numFmtId="0" fontId="9" fillId="0" borderId="15" xfId="0" applyFont="1" applyBorder="1" applyAlignment="1">
      <alignment horizontal="right"/>
    </xf>
    <xf numFmtId="1" fontId="5" fillId="0" borderId="15" xfId="0" applyNumberFormat="1" applyFont="1" applyBorder="1"/>
    <xf numFmtId="0" fontId="5" fillId="0" borderId="0" xfId="2" applyFont="1"/>
    <xf numFmtId="0" fontId="54" fillId="6" borderId="1" xfId="2" applyFont="1" applyFill="1" applyBorder="1" applyAlignment="1">
      <alignment horizontal="center"/>
    </xf>
    <xf numFmtId="0" fontId="54" fillId="6" borderId="3" xfId="2" applyFont="1" applyFill="1" applyBorder="1" applyAlignment="1">
      <alignment horizontal="center"/>
    </xf>
    <xf numFmtId="0" fontId="5" fillId="0" borderId="18" xfId="2" applyFont="1" applyBorder="1"/>
    <xf numFmtId="0" fontId="1" fillId="6" borderId="4" xfId="2" applyFill="1" applyBorder="1" applyAlignment="1">
      <alignment horizontal="left" indent="1"/>
    </xf>
    <xf numFmtId="0" fontId="1" fillId="6" borderId="11" xfId="2" applyFill="1" applyBorder="1" applyAlignment="1">
      <alignment horizontal="center"/>
    </xf>
    <xf numFmtId="9" fontId="1" fillId="6" borderId="11" xfId="1" applyFont="1" applyFill="1" applyBorder="1" applyAlignment="1">
      <alignment horizontal="center"/>
    </xf>
    <xf numFmtId="0" fontId="9" fillId="0" borderId="15" xfId="0" applyFont="1" applyBorder="1" applyAlignment="1">
      <alignment horizontal="left"/>
    </xf>
    <xf numFmtId="0" fontId="55" fillId="4" borderId="15" xfId="0" applyFont="1" applyFill="1" applyBorder="1"/>
    <xf numFmtId="0" fontId="56" fillId="10" borderId="0" xfId="2" applyFont="1" applyFill="1"/>
    <xf numFmtId="0" fontId="52" fillId="10" borderId="0" xfId="2" applyFont="1" applyFill="1"/>
    <xf numFmtId="0" fontId="12" fillId="10" borderId="0" xfId="2" applyFont="1" applyFill="1"/>
    <xf numFmtId="1" fontId="56" fillId="10" borderId="0" xfId="2" applyNumberFormat="1" applyFont="1" applyFill="1"/>
    <xf numFmtId="2" fontId="56" fillId="0" borderId="0" xfId="2" applyNumberFormat="1" applyFont="1"/>
    <xf numFmtId="0" fontId="57" fillId="11" borderId="1" xfId="2" applyFont="1" applyFill="1" applyBorder="1" applyAlignment="1">
      <alignment horizontal="center"/>
    </xf>
    <xf numFmtId="0" fontId="57" fillId="11" borderId="3" xfId="2" applyFont="1" applyFill="1" applyBorder="1" applyAlignment="1">
      <alignment horizontal="center"/>
    </xf>
    <xf numFmtId="0" fontId="58" fillId="0" borderId="0" xfId="2" applyFont="1"/>
    <xf numFmtId="0" fontId="1" fillId="0" borderId="0" xfId="2"/>
    <xf numFmtId="0" fontId="6" fillId="0" borderId="0" xfId="2" applyFont="1"/>
    <xf numFmtId="2" fontId="59" fillId="0" borderId="0" xfId="2" applyNumberFormat="1" applyFont="1"/>
    <xf numFmtId="0" fontId="1" fillId="11" borderId="4" xfId="2" applyFill="1" applyBorder="1" applyAlignment="1">
      <alignment horizontal="left" indent="1"/>
    </xf>
    <xf numFmtId="0" fontId="1" fillId="11" borderId="11" xfId="2" applyFill="1" applyBorder="1"/>
    <xf numFmtId="0" fontId="1" fillId="0" borderId="0" xfId="0" applyFont="1" applyAlignment="1">
      <alignment horizontal="center"/>
    </xf>
    <xf numFmtId="0" fontId="1" fillId="0" borderId="0" xfId="0" applyFont="1" applyAlignment="1">
      <alignment horizontal="left"/>
    </xf>
    <xf numFmtId="0" fontId="23" fillId="0" borderId="0" xfId="2" applyFont="1"/>
    <xf numFmtId="1" fontId="1" fillId="0" borderId="0" xfId="2" applyNumberFormat="1"/>
    <xf numFmtId="0" fontId="45" fillId="0" borderId="0" xfId="2" applyFont="1"/>
    <xf numFmtId="0" fontId="45" fillId="11" borderId="4" xfId="2" applyFont="1" applyFill="1" applyBorder="1" applyAlignment="1">
      <alignment horizontal="center"/>
    </xf>
    <xf numFmtId="0" fontId="45" fillId="11" borderId="11" xfId="2" applyFont="1" applyFill="1" applyBorder="1" applyAlignment="1">
      <alignment horizontal="center"/>
    </xf>
    <xf numFmtId="1" fontId="0" fillId="0" borderId="0" xfId="0" applyNumberFormat="1" applyAlignment="1">
      <alignment horizontal="left"/>
    </xf>
    <xf numFmtId="1" fontId="0" fillId="0" borderId="0" xfId="0" applyNumberFormat="1" applyAlignment="1">
      <alignment horizontal="center"/>
    </xf>
    <xf numFmtId="1" fontId="1" fillId="0" borderId="15" xfId="2" applyNumberFormat="1" applyBorder="1"/>
    <xf numFmtId="0" fontId="1" fillId="11" borderId="6" xfId="2" applyFill="1" applyBorder="1" applyAlignment="1">
      <alignment horizontal="left" indent="1"/>
    </xf>
    <xf numFmtId="0" fontId="1" fillId="11" borderId="8" xfId="2" applyFill="1" applyBorder="1"/>
    <xf numFmtId="1" fontId="10" fillId="0" borderId="0" xfId="2" applyNumberFormat="1" applyFont="1"/>
    <xf numFmtId="0" fontId="60" fillId="0" borderId="0" xfId="2" applyFont="1" applyAlignment="1">
      <alignment horizontal="right"/>
    </xf>
    <xf numFmtId="0" fontId="1" fillId="0" borderId="0" xfId="2" applyAlignment="1">
      <alignment horizontal="center" vertical="center"/>
    </xf>
    <xf numFmtId="1" fontId="45" fillId="0" borderId="0" xfId="2" applyNumberFormat="1" applyFont="1" applyAlignment="1">
      <alignment horizontal="center" vertical="center" wrapText="1"/>
    </xf>
    <xf numFmtId="1" fontId="1" fillId="0" borderId="0" xfId="2" applyNumberFormat="1" applyAlignment="1">
      <alignment horizontal="center" vertical="center"/>
    </xf>
    <xf numFmtId="0" fontId="1" fillId="0" borderId="0" xfId="2" applyAlignment="1">
      <alignment horizontal="center"/>
    </xf>
    <xf numFmtId="0" fontId="9" fillId="0" borderId="0" xfId="0" applyFont="1" applyAlignment="1">
      <alignment horizontal="center" shrinkToFit="1"/>
    </xf>
    <xf numFmtId="164" fontId="1" fillId="0" borderId="0" xfId="2" applyNumberFormat="1" applyAlignment="1">
      <alignment horizontal="center"/>
    </xf>
    <xf numFmtId="1" fontId="1" fillId="12" borderId="0" xfId="2" applyNumberFormat="1" applyFill="1"/>
    <xf numFmtId="1" fontId="1" fillId="0" borderId="0" xfId="2" applyNumberFormat="1" applyAlignment="1">
      <alignment horizontal="center"/>
    </xf>
    <xf numFmtId="2" fontId="1" fillId="0" borderId="0" xfId="2" applyNumberFormat="1"/>
    <xf numFmtId="10" fontId="52" fillId="0" borderId="0" xfId="4" applyNumberFormat="1" applyFont="1" applyBorder="1" applyAlignment="1">
      <alignment horizontal="center"/>
    </xf>
    <xf numFmtId="1" fontId="52" fillId="0" borderId="15" xfId="2" applyNumberFormat="1" applyFont="1" applyBorder="1"/>
    <xf numFmtId="1" fontId="52" fillId="4" borderId="15" xfId="2" applyNumberFormat="1" applyFont="1" applyFill="1" applyBorder="1" applyAlignment="1">
      <alignment horizontal="center"/>
    </xf>
    <xf numFmtId="0" fontId="9" fillId="0" borderId="7" xfId="0" applyFont="1" applyBorder="1" applyAlignment="1">
      <alignment shrinkToFit="1"/>
    </xf>
    <xf numFmtId="0" fontId="1" fillId="0" borderId="7" xfId="2" applyBorder="1"/>
    <xf numFmtId="1" fontId="52" fillId="0" borderId="7" xfId="2" applyNumberFormat="1" applyFont="1" applyBorder="1"/>
    <xf numFmtId="2" fontId="52" fillId="0" borderId="0" xfId="2" applyNumberFormat="1" applyFont="1"/>
    <xf numFmtId="17" fontId="1" fillId="0" borderId="0" xfId="2" applyNumberFormat="1" applyAlignment="1">
      <alignment horizontal="center"/>
    </xf>
    <xf numFmtId="0" fontId="23" fillId="0" borderId="0" xfId="2" applyFont="1" applyAlignment="1">
      <alignment horizontal="left" indent="1"/>
    </xf>
    <xf numFmtId="9" fontId="6" fillId="0" borderId="0" xfId="2" applyNumberFormat="1" applyFont="1" applyAlignment="1">
      <alignment horizontal="center"/>
    </xf>
    <xf numFmtId="0" fontId="61" fillId="0" borderId="0" xfId="2" applyFont="1" applyAlignment="1">
      <alignment horizontal="left"/>
    </xf>
    <xf numFmtId="2" fontId="1" fillId="0" borderId="0" xfId="2" applyNumberFormat="1" applyAlignment="1">
      <alignment horizontal="center"/>
    </xf>
    <xf numFmtId="17" fontId="1" fillId="0" borderId="0" xfId="2" applyNumberFormat="1"/>
    <xf numFmtId="0" fontId="5" fillId="0" borderId="7" xfId="0" applyFont="1" applyBorder="1"/>
    <xf numFmtId="0" fontId="23" fillId="0" borderId="7" xfId="2" applyFont="1" applyBorder="1"/>
    <xf numFmtId="1" fontId="1" fillId="0" borderId="7" xfId="2" applyNumberFormat="1" applyBorder="1" applyAlignment="1">
      <alignment horizontal="right"/>
    </xf>
    <xf numFmtId="1" fontId="1" fillId="0" borderId="7" xfId="2" applyNumberFormat="1" applyBorder="1"/>
    <xf numFmtId="2" fontId="52" fillId="0" borderId="7" xfId="2" applyNumberFormat="1" applyFont="1" applyBorder="1" applyAlignment="1">
      <alignment horizontal="center"/>
    </xf>
    <xf numFmtId="14" fontId="1" fillId="0" borderId="0" xfId="2" applyNumberFormat="1" applyAlignment="1">
      <alignment horizontal="center"/>
    </xf>
    <xf numFmtId="0" fontId="62" fillId="0" borderId="1" xfId="2" applyFont="1" applyBorder="1"/>
    <xf numFmtId="0" fontId="15" fillId="0" borderId="2" xfId="0" applyFont="1" applyBorder="1"/>
    <xf numFmtId="0" fontId="63" fillId="0" borderId="2" xfId="0" applyFont="1" applyBorder="1" applyAlignment="1">
      <alignment horizontal="center"/>
    </xf>
    <xf numFmtId="0" fontId="63" fillId="0" borderId="3" xfId="0" applyFont="1" applyBorder="1" applyAlignment="1">
      <alignment horizontal="center"/>
    </xf>
    <xf numFmtId="0" fontId="64" fillId="0" borderId="0" xfId="0" applyFont="1"/>
    <xf numFmtId="0" fontId="23" fillId="0" borderId="0" xfId="0" applyFont="1"/>
    <xf numFmtId="0" fontId="10" fillId="0" borderId="4" xfId="2" applyFont="1" applyBorder="1"/>
    <xf numFmtId="0" fontId="20" fillId="0" borderId="0" xfId="2" applyFont="1"/>
    <xf numFmtId="0" fontId="65" fillId="0" borderId="4" xfId="0" applyFont="1" applyBorder="1" applyAlignment="1">
      <alignment horizontal="center" vertical="center"/>
    </xf>
    <xf numFmtId="0" fontId="67" fillId="0" borderId="0" xfId="0" applyFont="1" applyAlignment="1">
      <alignment horizontal="left" vertical="top" wrapText="1"/>
    </xf>
    <xf numFmtId="0" fontId="67" fillId="0" borderId="11" xfId="0" applyFont="1" applyBorder="1" applyAlignment="1">
      <alignment horizontal="left" vertical="top" wrapText="1"/>
    </xf>
    <xf numFmtId="0" fontId="17" fillId="0" borderId="0" xfId="2" applyFont="1" applyAlignment="1">
      <alignment horizontal="left" vertical="center"/>
    </xf>
    <xf numFmtId="0" fontId="15" fillId="0" borderId="4" xfId="0" applyFont="1" applyBorder="1" applyAlignment="1">
      <alignment shrinkToFit="1"/>
    </xf>
    <xf numFmtId="0" fontId="68" fillId="0" borderId="0" xfId="0" applyFont="1" applyAlignment="1">
      <alignment horizontal="left" vertical="top" wrapText="1"/>
    </xf>
    <xf numFmtId="0" fontId="68" fillId="0" borderId="11" xfId="0" applyFont="1" applyBorder="1" applyAlignment="1">
      <alignment horizontal="left" vertical="top" wrapText="1"/>
    </xf>
    <xf numFmtId="0" fontId="15" fillId="0" borderId="6" xfId="0" applyFont="1" applyBorder="1" applyAlignment="1">
      <alignment shrinkToFit="1"/>
    </xf>
    <xf numFmtId="0" fontId="67" fillId="0" borderId="7" xfId="0" applyFont="1" applyBorder="1" applyAlignment="1">
      <alignment horizontal="left" vertical="top" wrapText="1"/>
    </xf>
    <xf numFmtId="0" fontId="15" fillId="0" borderId="8" xfId="0" applyFont="1" applyBorder="1"/>
    <xf numFmtId="0" fontId="15" fillId="0" borderId="0" xfId="0" applyFont="1" applyAlignment="1">
      <alignment shrinkToFit="1"/>
    </xf>
    <xf numFmtId="0" fontId="67" fillId="0" borderId="0" xfId="0" applyFont="1" applyAlignment="1">
      <alignment horizontal="left" vertical="top" wrapText="1"/>
    </xf>
    <xf numFmtId="0" fontId="67" fillId="0" borderId="2" xfId="0" applyFont="1" applyBorder="1" applyAlignment="1">
      <alignment horizontal="left" vertical="top" wrapText="1"/>
    </xf>
    <xf numFmtId="0" fontId="70" fillId="0" borderId="2" xfId="0" applyFont="1" applyBorder="1" applyAlignment="1">
      <alignment horizontal="center"/>
    </xf>
    <xf numFmtId="0" fontId="70" fillId="0" borderId="3" xfId="0" applyFont="1" applyBorder="1" applyAlignment="1">
      <alignment horizontal="center"/>
    </xf>
    <xf numFmtId="0" fontId="71" fillId="0" borderId="0" xfId="2" applyFont="1"/>
    <xf numFmtId="0" fontId="5" fillId="0" borderId="0" xfId="2" applyFont="1" applyAlignment="1">
      <alignment horizontal="right"/>
    </xf>
    <xf numFmtId="0" fontId="15" fillId="0" borderId="0" xfId="2" applyFont="1"/>
    <xf numFmtId="0" fontId="9" fillId="0" borderId="0" xfId="2" applyFont="1"/>
    <xf numFmtId="0" fontId="9" fillId="0" borderId="6" xfId="0" applyFont="1" applyBorder="1" applyAlignment="1">
      <alignment shrinkToFit="1"/>
    </xf>
    <xf numFmtId="0" fontId="15" fillId="0" borderId="7" xfId="2" applyFont="1" applyBorder="1"/>
    <xf numFmtId="0" fontId="5" fillId="0" borderId="8" xfId="0" applyFont="1" applyBorder="1"/>
    <xf numFmtId="0" fontId="63" fillId="0" borderId="1" xfId="2" applyFont="1" applyBorder="1"/>
    <xf numFmtId="0" fontId="23" fillId="0" borderId="2" xfId="2" applyFont="1" applyBorder="1" applyAlignment="1">
      <alignment horizontal="center"/>
    </xf>
    <xf numFmtId="0" fontId="1" fillId="0" borderId="2" xfId="2" applyBorder="1" applyAlignment="1">
      <alignment horizontal="center"/>
    </xf>
    <xf numFmtId="0" fontId="25" fillId="0" borderId="2" xfId="2" applyFont="1" applyBorder="1"/>
    <xf numFmtId="0" fontId="5" fillId="0" borderId="2" xfId="0" applyFont="1" applyBorder="1"/>
    <xf numFmtId="0" fontId="5" fillId="0" borderId="3" xfId="0" applyFont="1" applyBorder="1"/>
    <xf numFmtId="0" fontId="5" fillId="0" borderId="4" xfId="2" applyFont="1" applyBorder="1" applyAlignment="1">
      <alignment horizontal="left" indent="1"/>
    </xf>
    <xf numFmtId="0" fontId="5" fillId="0" borderId="0" xfId="2" applyFont="1" applyAlignment="1">
      <alignment horizontal="left" indent="1"/>
    </xf>
    <xf numFmtId="0" fontId="1" fillId="0" borderId="0" xfId="2" applyAlignment="1">
      <alignment horizontal="right"/>
    </xf>
    <xf numFmtId="0" fontId="63" fillId="0" borderId="4" xfId="2" applyFont="1" applyBorder="1"/>
    <xf numFmtId="0" fontId="8" fillId="0" borderId="0" xfId="2" applyFont="1" applyAlignment="1">
      <alignment horizontal="left"/>
    </xf>
    <xf numFmtId="0" fontId="1" fillId="0" borderId="0" xfId="2" applyAlignment="1">
      <alignment horizontal="left" indent="1"/>
    </xf>
    <xf numFmtId="0" fontId="63" fillId="0" borderId="6" xfId="2" applyFont="1" applyBorder="1"/>
    <xf numFmtId="0" fontId="72" fillId="0" borderId="7" xfId="2" applyFont="1" applyBorder="1"/>
    <xf numFmtId="0" fontId="1" fillId="0" borderId="7" xfId="2" applyBorder="1" applyAlignment="1">
      <alignment horizontal="right"/>
    </xf>
    <xf numFmtId="0" fontId="16" fillId="0" borderId="0" xfId="2" applyFont="1"/>
  </cellXfs>
  <cellStyles count="5">
    <cellStyle name="Hyperlink" xfId="3" builtinId="8"/>
    <cellStyle name="Normal" xfId="0" builtinId="0"/>
    <cellStyle name="Normal 2 2" xfId="2" xr:uid="{8D6B219F-1E60-4A8D-B7BB-09341233C21E}"/>
    <cellStyle name="Percent" xfId="1" builtinId="5"/>
    <cellStyle name="Percent 2" xfId="4" xr:uid="{4B1BDE13-CD45-4656-9DA7-05011142C7B8}"/>
  </cellStyles>
  <dxfs count="1">
    <dxf>
      <font>
        <condense val="0"/>
        <extend val="0"/>
        <color indexed="12"/>
      </font>
      <fill>
        <patternFill>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tilmb21.indiatimes.com/service/home/~/Final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1.86 "/>
      <sheetName val="Reader"/>
      <sheetName val="Sheet1"/>
    </sheetNames>
    <sheetDataSet>
      <sheetData sheetId="0"/>
      <sheetData sheetId="1"/>
      <sheetData sheetId="2">
        <row r="4">
          <cell r="S4">
            <v>13260</v>
          </cell>
          <cell r="T4">
            <v>37400</v>
          </cell>
        </row>
        <row r="5">
          <cell r="S5">
            <v>13680</v>
          </cell>
          <cell r="T5">
            <v>37400</v>
          </cell>
        </row>
        <row r="6">
          <cell r="S6">
            <v>14100</v>
          </cell>
          <cell r="T6">
            <v>38530</v>
          </cell>
        </row>
        <row r="7">
          <cell r="S7">
            <v>14520</v>
          </cell>
          <cell r="T7">
            <v>38530</v>
          </cell>
        </row>
        <row r="8">
          <cell r="S8">
            <v>14940</v>
          </cell>
          <cell r="T8">
            <v>39690</v>
          </cell>
        </row>
        <row r="9">
          <cell r="S9">
            <v>15360</v>
          </cell>
          <cell r="T9">
            <v>39690</v>
          </cell>
        </row>
        <row r="10">
          <cell r="S10">
            <v>15780</v>
          </cell>
          <cell r="T10">
            <v>40890</v>
          </cell>
        </row>
        <row r="11">
          <cell r="S11">
            <v>16200</v>
          </cell>
          <cell r="T11">
            <v>40890</v>
          </cell>
        </row>
        <row r="12">
          <cell r="S12">
            <v>16400</v>
          </cell>
          <cell r="T12">
            <v>43390</v>
          </cell>
        </row>
        <row r="13">
          <cell r="S13">
            <v>16620</v>
          </cell>
          <cell r="T13">
            <v>42120</v>
          </cell>
        </row>
        <row r="14">
          <cell r="S14">
            <v>16850</v>
          </cell>
          <cell r="T14">
            <v>43390</v>
          </cell>
        </row>
        <row r="15">
          <cell r="S15">
            <v>17040</v>
          </cell>
          <cell r="T15">
            <v>42120</v>
          </cell>
        </row>
        <row r="16">
          <cell r="S16">
            <v>17300</v>
          </cell>
          <cell r="T16">
            <v>44700</v>
          </cell>
        </row>
        <row r="17">
          <cell r="S17">
            <v>17460</v>
          </cell>
          <cell r="T17">
            <v>43390</v>
          </cell>
        </row>
        <row r="18">
          <cell r="S18">
            <v>17750</v>
          </cell>
          <cell r="T18">
            <v>44700</v>
          </cell>
        </row>
        <row r="19">
          <cell r="S19">
            <v>17880</v>
          </cell>
          <cell r="T19">
            <v>43390</v>
          </cell>
        </row>
        <row r="20">
          <cell r="S20">
            <v>18200</v>
          </cell>
          <cell r="T20">
            <v>46050</v>
          </cell>
        </row>
        <row r="21">
          <cell r="S21">
            <v>18300</v>
          </cell>
          <cell r="T21">
            <v>44700</v>
          </cell>
        </row>
        <row r="22">
          <cell r="S22">
            <v>18650</v>
          </cell>
          <cell r="T22">
            <v>46050</v>
          </cell>
        </row>
        <row r="23">
          <cell r="S23">
            <v>18720</v>
          </cell>
          <cell r="T23">
            <v>44700</v>
          </cell>
        </row>
        <row r="24">
          <cell r="S24">
            <v>19100</v>
          </cell>
          <cell r="T24">
            <v>47440</v>
          </cell>
        </row>
        <row r="25">
          <cell r="S25">
            <v>19140</v>
          </cell>
          <cell r="T25">
            <v>46050</v>
          </cell>
        </row>
        <row r="26">
          <cell r="S26">
            <v>19550</v>
          </cell>
          <cell r="T26">
            <v>47440</v>
          </cell>
        </row>
        <row r="27">
          <cell r="S27">
            <v>19560</v>
          </cell>
          <cell r="T27">
            <v>46050</v>
          </cell>
        </row>
        <row r="28">
          <cell r="S28">
            <v>19980</v>
          </cell>
          <cell r="T28">
            <v>47440</v>
          </cell>
        </row>
        <row r="29">
          <cell r="S29">
            <v>20000</v>
          </cell>
          <cell r="T29">
            <v>48870</v>
          </cell>
        </row>
        <row r="30">
          <cell r="S30">
            <v>20450</v>
          </cell>
          <cell r="T30">
            <v>48870</v>
          </cell>
        </row>
        <row r="31">
          <cell r="S31">
            <v>20900</v>
          </cell>
          <cell r="T31">
            <v>50340</v>
          </cell>
        </row>
        <row r="32">
          <cell r="S32">
            <v>21400</v>
          </cell>
          <cell r="T32">
            <v>50340</v>
          </cell>
        </row>
        <row r="33">
          <cell r="S33">
            <v>21900</v>
          </cell>
          <cell r="T33">
            <v>51860</v>
          </cell>
        </row>
        <row r="34">
          <cell r="S34">
            <v>22400</v>
          </cell>
          <cell r="T34">
            <v>51860</v>
          </cell>
        </row>
        <row r="35">
          <cell r="S35">
            <v>22900</v>
          </cell>
          <cell r="T35">
            <v>53420</v>
          </cell>
        </row>
        <row r="36">
          <cell r="S36">
            <v>23400</v>
          </cell>
          <cell r="T36">
            <v>53420</v>
          </cell>
        </row>
        <row r="37">
          <cell r="S37">
            <v>23900</v>
          </cell>
          <cell r="T37">
            <v>55030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445DD-205C-44E0-AD1F-6AA9A01C1CA5}">
  <sheetPr>
    <pageSetUpPr fitToPage="1"/>
  </sheetPr>
  <dimension ref="A1:N144"/>
  <sheetViews>
    <sheetView showZeros="0" tabSelected="1" topLeftCell="A37" zoomScale="120" workbookViewId="0">
      <selection activeCell="H50" sqref="H50"/>
    </sheetView>
  </sheetViews>
  <sheetFormatPr defaultColWidth="9.109375" defaultRowHeight="15" customHeight="1" x14ac:dyDescent="0.25"/>
  <cols>
    <col min="1" max="1" width="4" style="109" customWidth="1"/>
    <col min="2" max="2" width="9.6640625" style="18" customWidth="1"/>
    <col min="3" max="3" width="10.6640625" style="18" customWidth="1"/>
    <col min="4" max="4" width="12.6640625" style="18" customWidth="1"/>
    <col min="5" max="5" width="15.88671875" style="18" customWidth="1"/>
    <col min="6" max="6" width="10.44140625" style="18" customWidth="1"/>
    <col min="7" max="7" width="10.6640625" style="18" customWidth="1"/>
    <col min="8" max="8" width="12.6640625" style="18" customWidth="1"/>
    <col min="9" max="9" width="3.44140625" style="18" customWidth="1"/>
    <col min="10" max="10" width="4.44140625" style="18" customWidth="1"/>
    <col min="11" max="11" width="29.88671875" style="18" customWidth="1"/>
    <col min="12" max="12" width="9.5546875" style="18" customWidth="1"/>
    <col min="13" max="13" width="10.6640625" style="18" customWidth="1"/>
    <col min="14" max="14" width="13" style="18" customWidth="1"/>
    <col min="15" max="16384" width="9.109375" style="18"/>
  </cols>
  <sheetData>
    <row r="1" spans="1:14" s="9" customFormat="1" ht="14.25" customHeight="1" x14ac:dyDescent="0.3">
      <c r="A1" s="1" t="s">
        <v>0</v>
      </c>
      <c r="B1" s="2"/>
      <c r="C1" s="2"/>
      <c r="D1" s="3" t="s">
        <v>1</v>
      </c>
      <c r="E1" s="3"/>
      <c r="F1" s="3"/>
      <c r="G1" s="3"/>
      <c r="H1" s="3"/>
      <c r="I1" s="4"/>
      <c r="J1" s="5" t="s">
        <v>2</v>
      </c>
      <c r="K1" s="6"/>
      <c r="L1" s="6"/>
      <c r="M1" s="7" t="s">
        <v>3</v>
      </c>
      <c r="N1" s="8" t="s">
        <v>4</v>
      </c>
    </row>
    <row r="2" spans="1:14" ht="15" customHeight="1" thickBot="1" x14ac:dyDescent="0.3">
      <c r="A2" s="10" t="s">
        <v>5</v>
      </c>
      <c r="B2" s="11"/>
      <c r="C2" s="11"/>
      <c r="D2" s="12" t="s">
        <v>6</v>
      </c>
      <c r="E2" s="13" t="s">
        <v>7</v>
      </c>
      <c r="F2" s="14" t="s">
        <v>8</v>
      </c>
      <c r="G2" s="14"/>
      <c r="H2" s="15">
        <v>20689</v>
      </c>
      <c r="I2" s="16" t="str">
        <f>IF(H2&lt;22008,"Sr",0)</f>
        <v>Sr</v>
      </c>
      <c r="J2" s="17"/>
      <c r="N2" s="19">
        <v>44389</v>
      </c>
    </row>
    <row r="3" spans="1:14" ht="15" customHeight="1" x14ac:dyDescent="0.25">
      <c r="A3" s="20"/>
      <c r="B3" s="21" t="s">
        <v>9</v>
      </c>
      <c r="D3" s="18" t="s">
        <v>10</v>
      </c>
      <c r="G3" s="22"/>
      <c r="H3" s="23" t="s">
        <v>11</v>
      </c>
      <c r="I3" s="24"/>
      <c r="K3" s="25" t="s">
        <v>12</v>
      </c>
      <c r="L3" s="26">
        <v>6200000</v>
      </c>
      <c r="N3" s="27" t="s">
        <v>13</v>
      </c>
    </row>
    <row r="4" spans="1:14" ht="15" customHeight="1" x14ac:dyDescent="0.25">
      <c r="A4" s="28"/>
      <c r="B4" s="29" t="s">
        <v>14</v>
      </c>
      <c r="C4" s="30" t="s">
        <v>15</v>
      </c>
      <c r="G4" s="31">
        <f>+L8</f>
        <v>6266690</v>
      </c>
      <c r="H4" s="32"/>
      <c r="I4" s="33"/>
      <c r="J4" s="7" t="s">
        <v>16</v>
      </c>
      <c r="K4" s="18" t="s">
        <v>17</v>
      </c>
      <c r="L4" s="18">
        <v>27690</v>
      </c>
      <c r="M4" s="18">
        <v>27690</v>
      </c>
      <c r="N4" s="34">
        <v>44561</v>
      </c>
    </row>
    <row r="5" spans="1:14" ht="15" customHeight="1" x14ac:dyDescent="0.25">
      <c r="A5" s="28"/>
      <c r="B5" s="29" t="s">
        <v>18</v>
      </c>
      <c r="C5" s="30" t="s">
        <v>19</v>
      </c>
      <c r="G5" s="31"/>
      <c r="H5" s="32"/>
      <c r="I5" s="33"/>
      <c r="K5" s="18" t="s">
        <v>20</v>
      </c>
      <c r="L5" s="18">
        <v>31000</v>
      </c>
      <c r="M5" s="18">
        <v>31000</v>
      </c>
      <c r="N5" s="35" t="s">
        <v>21</v>
      </c>
    </row>
    <row r="6" spans="1:14" ht="15" customHeight="1" thickBot="1" x14ac:dyDescent="0.3">
      <c r="A6" s="28"/>
      <c r="B6" s="29" t="s">
        <v>22</v>
      </c>
      <c r="C6" s="30" t="s">
        <v>23</v>
      </c>
      <c r="G6" s="36">
        <f>+L9</f>
        <v>72000</v>
      </c>
      <c r="H6" s="32"/>
      <c r="I6" s="33"/>
      <c r="K6" s="18" t="s">
        <v>24</v>
      </c>
      <c r="L6" s="18">
        <v>8000</v>
      </c>
      <c r="M6" s="37"/>
      <c r="N6" s="38">
        <v>44525</v>
      </c>
    </row>
    <row r="7" spans="1:14" ht="15" customHeight="1" x14ac:dyDescent="0.25">
      <c r="A7" s="28"/>
      <c r="B7" s="21"/>
      <c r="C7" s="30"/>
      <c r="F7" s="39" t="s">
        <v>25</v>
      </c>
      <c r="G7" s="40">
        <f>G4+G5+G6</f>
        <v>6338690</v>
      </c>
      <c r="H7" s="32"/>
      <c r="I7" s="33"/>
      <c r="N7" s="41" t="s">
        <v>26</v>
      </c>
    </row>
    <row r="8" spans="1:14" ht="15" customHeight="1" thickBot="1" x14ac:dyDescent="0.3">
      <c r="A8" s="28"/>
      <c r="B8" s="42" t="s">
        <v>27</v>
      </c>
      <c r="C8" s="30" t="s">
        <v>28</v>
      </c>
      <c r="G8" s="36">
        <f>M8+M9</f>
        <v>58690</v>
      </c>
      <c r="H8" s="32"/>
      <c r="I8" s="33"/>
      <c r="L8" s="43">
        <f>SUM(L3:L7)</f>
        <v>6266690</v>
      </c>
      <c r="M8" s="43">
        <f>SUM(M3:M7)</f>
        <v>58690</v>
      </c>
      <c r="N8" s="44" t="s">
        <v>29</v>
      </c>
    </row>
    <row r="9" spans="1:14" ht="15" customHeight="1" thickTop="1" thickBot="1" x14ac:dyDescent="0.3">
      <c r="A9" s="28"/>
      <c r="B9" s="21"/>
      <c r="F9" s="39" t="s">
        <v>30</v>
      </c>
      <c r="G9" s="45">
        <f>G7-G8</f>
        <v>6280000</v>
      </c>
      <c r="H9" s="32"/>
      <c r="I9" s="33"/>
      <c r="K9" s="18" t="s">
        <v>31</v>
      </c>
      <c r="L9" s="18">
        <v>72000</v>
      </c>
      <c r="N9" s="46">
        <v>5000</v>
      </c>
    </row>
    <row r="10" spans="1:14" ht="15" customHeight="1" x14ac:dyDescent="0.25">
      <c r="A10" s="28"/>
      <c r="B10" s="29" t="s">
        <v>32</v>
      </c>
      <c r="C10" s="47" t="s">
        <v>33</v>
      </c>
      <c r="G10" s="36">
        <v>50000</v>
      </c>
      <c r="H10" s="32">
        <f>G9-G10</f>
        <v>6230000</v>
      </c>
      <c r="I10" s="33"/>
      <c r="J10" s="7"/>
      <c r="K10" s="48" t="s">
        <v>34</v>
      </c>
    </row>
    <row r="11" spans="1:14" ht="21" customHeight="1" x14ac:dyDescent="0.25">
      <c r="A11" s="28"/>
      <c r="B11" s="21" t="s">
        <v>35</v>
      </c>
      <c r="E11" s="49"/>
      <c r="G11" s="22"/>
      <c r="H11" s="32"/>
      <c r="I11" s="33"/>
    </row>
    <row r="12" spans="1:14" ht="15" customHeight="1" x14ac:dyDescent="0.25">
      <c r="A12" s="28"/>
      <c r="C12" s="50" t="s">
        <v>36</v>
      </c>
      <c r="D12" s="30"/>
      <c r="E12" s="51"/>
      <c r="F12" s="7"/>
      <c r="G12" s="52"/>
      <c r="H12" s="53"/>
      <c r="I12" s="33"/>
    </row>
    <row r="13" spans="1:14" ht="15" customHeight="1" x14ac:dyDescent="0.25">
      <c r="A13" s="28"/>
      <c r="B13" s="29"/>
      <c r="C13" s="47" t="s">
        <v>37</v>
      </c>
      <c r="E13" s="47"/>
      <c r="F13" s="47"/>
      <c r="G13" s="54"/>
      <c r="H13" s="53">
        <f>0-G13</f>
        <v>0</v>
      </c>
      <c r="I13" s="33"/>
      <c r="K13" s="55" t="s">
        <v>38</v>
      </c>
      <c r="L13" s="55"/>
      <c r="M13" s="55">
        <v>30000</v>
      </c>
    </row>
    <row r="14" spans="1:14" ht="15" customHeight="1" thickBot="1" x14ac:dyDescent="0.3">
      <c r="A14" s="28"/>
      <c r="B14" s="21" t="s">
        <v>39</v>
      </c>
      <c r="H14" s="53"/>
      <c r="I14" s="33"/>
      <c r="K14" s="55" t="s">
        <v>40</v>
      </c>
      <c r="L14" s="55"/>
      <c r="M14" s="55">
        <v>50000</v>
      </c>
    </row>
    <row r="15" spans="1:14" ht="15" customHeight="1" x14ac:dyDescent="0.25">
      <c r="A15" s="28"/>
      <c r="C15" s="47" t="s">
        <v>41</v>
      </c>
      <c r="H15" s="53"/>
      <c r="I15" s="33"/>
      <c r="K15" s="56" t="s">
        <v>42</v>
      </c>
      <c r="L15" s="57"/>
      <c r="M15" s="57"/>
      <c r="N15" s="58"/>
    </row>
    <row r="16" spans="1:14" ht="15" customHeight="1" x14ac:dyDescent="0.25">
      <c r="A16" s="28"/>
      <c r="C16" s="47" t="s">
        <v>43</v>
      </c>
      <c r="H16" s="53"/>
      <c r="I16" s="33"/>
      <c r="J16" s="59"/>
      <c r="K16" s="60" t="s">
        <v>44</v>
      </c>
      <c r="L16" s="61"/>
      <c r="M16" s="62">
        <v>5100000</v>
      </c>
      <c r="N16" s="63"/>
    </row>
    <row r="17" spans="1:14" ht="15" customHeight="1" x14ac:dyDescent="0.25">
      <c r="A17" s="28"/>
      <c r="B17" s="64">
        <v>43931</v>
      </c>
      <c r="C17" s="65" t="s">
        <v>45</v>
      </c>
      <c r="G17" s="52">
        <f>+M16</f>
        <v>5100000</v>
      </c>
      <c r="H17" s="53"/>
      <c r="I17" s="33"/>
      <c r="K17" s="60" t="s">
        <v>46</v>
      </c>
      <c r="L17" s="61"/>
      <c r="M17" s="62">
        <v>300000</v>
      </c>
      <c r="N17" s="63"/>
    </row>
    <row r="18" spans="1:14" ht="15" customHeight="1" x14ac:dyDescent="0.25">
      <c r="A18" s="28"/>
      <c r="B18" s="66" t="s">
        <v>47</v>
      </c>
      <c r="C18" s="67" t="s">
        <v>48</v>
      </c>
      <c r="E18" s="47" t="s">
        <v>49</v>
      </c>
      <c r="G18" s="54">
        <f>ROUND(300000*301/109,0)</f>
        <v>828440</v>
      </c>
      <c r="H18" s="53">
        <f>G17-G18</f>
        <v>4271560</v>
      </c>
      <c r="I18" s="33"/>
      <c r="K18" s="68" t="s">
        <v>50</v>
      </c>
      <c r="L18" s="61"/>
      <c r="M18" s="61"/>
      <c r="N18" s="63"/>
    </row>
    <row r="19" spans="1:14" ht="15" customHeight="1" thickBot="1" x14ac:dyDescent="0.3">
      <c r="A19" s="28"/>
      <c r="B19" s="21" t="s">
        <v>51</v>
      </c>
      <c r="H19" s="53"/>
      <c r="I19" s="33"/>
      <c r="K19" s="69"/>
      <c r="L19" s="70" t="s">
        <v>52</v>
      </c>
      <c r="M19" s="71">
        <v>317</v>
      </c>
      <c r="N19" s="72"/>
    </row>
    <row r="20" spans="1:14" ht="18.600000000000001" customHeight="1" x14ac:dyDescent="0.25">
      <c r="A20" s="28"/>
      <c r="B20" s="73"/>
      <c r="C20" s="50" t="s">
        <v>53</v>
      </c>
      <c r="D20" s="29"/>
      <c r="E20" s="29"/>
      <c r="F20" s="47"/>
      <c r="G20" s="74">
        <f>+L20</f>
        <v>11400</v>
      </c>
      <c r="H20" s="53"/>
      <c r="I20" s="33"/>
      <c r="K20" s="18" t="s">
        <v>53</v>
      </c>
      <c r="L20" s="18">
        <v>11400</v>
      </c>
    </row>
    <row r="21" spans="1:14" ht="15" customHeight="1" x14ac:dyDescent="0.25">
      <c r="A21" s="28"/>
      <c r="B21" s="73"/>
      <c r="C21" s="47" t="s">
        <v>54</v>
      </c>
      <c r="D21" s="29"/>
      <c r="E21" s="29"/>
      <c r="F21" s="47"/>
      <c r="G21" s="75">
        <f>L21*100/90</f>
        <v>200000</v>
      </c>
      <c r="H21" s="53"/>
      <c r="I21" s="33"/>
      <c r="K21" s="18" t="s">
        <v>55</v>
      </c>
      <c r="L21" s="18">
        <v>180000</v>
      </c>
      <c r="M21" s="76" t="s">
        <v>56</v>
      </c>
    </row>
    <row r="22" spans="1:14" ht="15" customHeight="1" x14ac:dyDescent="0.25">
      <c r="A22" s="28"/>
      <c r="C22" s="47" t="s">
        <v>57</v>
      </c>
      <c r="D22" s="29"/>
      <c r="E22" s="77">
        <f>+N22</f>
        <v>43997</v>
      </c>
      <c r="F22" s="47"/>
      <c r="G22" s="75">
        <f>+L22</f>
        <v>3150</v>
      </c>
      <c r="H22" s="53"/>
      <c r="I22" s="33"/>
      <c r="K22" s="18" t="s">
        <v>58</v>
      </c>
      <c r="L22" s="18">
        <v>3150</v>
      </c>
      <c r="M22" s="76" t="s">
        <v>59</v>
      </c>
      <c r="N22" s="78">
        <v>43997</v>
      </c>
    </row>
    <row r="23" spans="1:14" ht="15" customHeight="1" x14ac:dyDescent="0.25">
      <c r="A23" s="28"/>
      <c r="B23" s="73"/>
      <c r="C23" s="79" t="s">
        <v>60</v>
      </c>
      <c r="F23" s="80">
        <v>36000</v>
      </c>
      <c r="G23" s="81"/>
      <c r="H23" s="53">
        <f>G20+G21+G23+G22</f>
        <v>214550</v>
      </c>
      <c r="I23" s="33"/>
      <c r="K23" s="18" t="s">
        <v>61</v>
      </c>
      <c r="L23" s="18">
        <v>36000</v>
      </c>
    </row>
    <row r="24" spans="1:14" ht="15" customHeight="1" x14ac:dyDescent="0.25">
      <c r="A24" s="28"/>
      <c r="B24" s="21" t="s">
        <v>62</v>
      </c>
      <c r="E24" s="7"/>
      <c r="F24" s="7"/>
      <c r="G24" s="32"/>
      <c r="H24" s="82">
        <f>SUM(H4:H23)</f>
        <v>10716110</v>
      </c>
      <c r="I24" s="83"/>
    </row>
    <row r="25" spans="1:14" ht="15" customHeight="1" x14ac:dyDescent="0.25">
      <c r="A25" s="28"/>
      <c r="B25" s="84" t="s">
        <v>63</v>
      </c>
      <c r="H25" s="53"/>
      <c r="I25" s="33"/>
      <c r="K25" s="85" t="s">
        <v>64</v>
      </c>
      <c r="M25" s="85">
        <v>55000</v>
      </c>
    </row>
    <row r="26" spans="1:14" ht="15" customHeight="1" x14ac:dyDescent="0.25">
      <c r="A26" s="28"/>
      <c r="B26" s="86"/>
      <c r="C26" s="49" t="s">
        <v>65</v>
      </c>
      <c r="D26" s="18" t="str">
        <f>+K25</f>
        <v>Recognised Prov Fund</v>
      </c>
      <c r="F26" s="47">
        <f>+M25</f>
        <v>55000</v>
      </c>
      <c r="H26" s="53"/>
      <c r="I26" s="33"/>
      <c r="K26" s="85" t="s">
        <v>66</v>
      </c>
      <c r="M26" s="85">
        <v>86000</v>
      </c>
    </row>
    <row r="27" spans="1:14" ht="15" customHeight="1" x14ac:dyDescent="0.25">
      <c r="A27" s="28"/>
      <c r="B27" s="86"/>
      <c r="C27" s="87" t="s">
        <v>67</v>
      </c>
      <c r="D27" s="18" t="str">
        <f>+K26</f>
        <v>Public Prov Fund</v>
      </c>
      <c r="F27" s="47">
        <f>+M26</f>
        <v>86000</v>
      </c>
      <c r="H27" s="53"/>
      <c r="I27" s="33"/>
      <c r="K27" s="85" t="s">
        <v>68</v>
      </c>
      <c r="M27" s="85">
        <v>19000</v>
      </c>
    </row>
    <row r="28" spans="1:14" ht="15" customHeight="1" thickBot="1" x14ac:dyDescent="0.3">
      <c r="A28" s="28"/>
      <c r="C28" s="88" t="s">
        <v>69</v>
      </c>
      <c r="D28" s="18" t="s">
        <v>70</v>
      </c>
      <c r="F28" s="89">
        <f>+M27</f>
        <v>19000</v>
      </c>
      <c r="G28" s="74">
        <v>150000</v>
      </c>
      <c r="H28" s="53"/>
      <c r="I28" s="33"/>
      <c r="K28" s="85"/>
      <c r="M28" s="90">
        <f>SUM(M25:M27)</f>
        <v>160000</v>
      </c>
    </row>
    <row r="29" spans="1:14" ht="15" customHeight="1" thickTop="1" x14ac:dyDescent="0.25">
      <c r="A29" s="28"/>
      <c r="B29" s="86"/>
      <c r="C29" s="49" t="s">
        <v>71</v>
      </c>
      <c r="E29" s="91">
        <v>32000</v>
      </c>
      <c r="G29" s="74"/>
      <c r="H29" s="53"/>
      <c r="I29" s="33"/>
      <c r="K29" s="85" t="s">
        <v>72</v>
      </c>
      <c r="M29" s="18">
        <v>82000</v>
      </c>
    </row>
    <row r="30" spans="1:14" ht="15" customHeight="1" x14ac:dyDescent="0.25">
      <c r="A30" s="28"/>
      <c r="B30" s="86"/>
      <c r="C30" s="49" t="s">
        <v>73</v>
      </c>
      <c r="F30" s="92"/>
      <c r="G30" s="74">
        <v>50000</v>
      </c>
      <c r="H30" s="53"/>
      <c r="I30" s="33"/>
      <c r="K30" s="48"/>
      <c r="M30" s="93"/>
    </row>
    <row r="31" spans="1:14" ht="15" customHeight="1" x14ac:dyDescent="0.25">
      <c r="A31" s="94" t="str">
        <f>+I2</f>
        <v>Sr</v>
      </c>
      <c r="C31" s="49" t="s">
        <v>74</v>
      </c>
      <c r="D31" s="47" t="s">
        <v>75</v>
      </c>
      <c r="E31" s="95">
        <f>G20+G21</f>
        <v>211400</v>
      </c>
      <c r="F31" s="7"/>
      <c r="G31" s="54">
        <v>50000</v>
      </c>
      <c r="H31" s="53">
        <f>SUM(G26:G31)</f>
        <v>250000</v>
      </c>
      <c r="I31" s="33"/>
      <c r="K31" s="96"/>
    </row>
    <row r="32" spans="1:14" ht="15" customHeight="1" thickBot="1" x14ac:dyDescent="0.3">
      <c r="A32" s="28"/>
      <c r="B32" s="97" t="s">
        <v>76</v>
      </c>
      <c r="E32" s="98">
        <f>IF((H24-H31)&lt;0,0,(H24-H31))</f>
        <v>10466110</v>
      </c>
      <c r="F32" s="99" t="s">
        <v>77</v>
      </c>
      <c r="G32" s="100"/>
      <c r="H32" s="101">
        <f>ROUND((E32/10),0)*10</f>
        <v>10466110</v>
      </c>
      <c r="I32" s="102"/>
      <c r="K32" s="92" t="s">
        <v>78</v>
      </c>
    </row>
    <row r="33" spans="1:14" ht="15" customHeight="1" thickTop="1" x14ac:dyDescent="0.25">
      <c r="A33" s="28"/>
      <c r="B33" s="92" t="s">
        <v>79</v>
      </c>
      <c r="E33" s="103" t="s">
        <v>80</v>
      </c>
      <c r="F33" s="104" t="s">
        <v>81</v>
      </c>
      <c r="G33" s="103" t="s">
        <v>82</v>
      </c>
      <c r="H33" s="105"/>
      <c r="I33" s="106"/>
      <c r="K33" s="107" t="s">
        <v>83</v>
      </c>
      <c r="L33" s="108">
        <v>0.05</v>
      </c>
      <c r="M33" s="18">
        <f>200000*5%</f>
        <v>10000</v>
      </c>
    </row>
    <row r="34" spans="1:14" ht="15" customHeight="1" x14ac:dyDescent="0.25">
      <c r="A34" s="28"/>
      <c r="B34" s="109"/>
      <c r="C34" s="47" t="s">
        <v>84</v>
      </c>
      <c r="E34" s="25">
        <f>H32-E35</f>
        <v>6194550</v>
      </c>
      <c r="F34" s="110"/>
      <c r="G34" s="18">
        <f>IF(+I2="Sr",ROUND(IF(E34&gt;1000000,(((E34-1000000)*0.3)+110000),IF(E34&gt;500000,(((E34-500000)*0.2)+10000),IF(E34&gt;300000,((E34-300000)*0.05),0))),0),ROUND(IF(E34&gt;1000000,(((E34-1000000)*0.3)+112500),IF(E34&gt;500000,(((E34-500000)*0.2)+12500),IF(E34&gt;250000,((E34-250000)*0.05),0))),0))</f>
        <v>1668365</v>
      </c>
      <c r="H34" s="105"/>
      <c r="I34" s="106"/>
      <c r="K34" s="107" t="s">
        <v>85</v>
      </c>
      <c r="L34" s="108">
        <v>0.2</v>
      </c>
      <c r="M34" s="18">
        <f>500000*20%</f>
        <v>100000</v>
      </c>
    </row>
    <row r="35" spans="1:14" ht="15" customHeight="1" x14ac:dyDescent="0.25">
      <c r="A35" s="28"/>
      <c r="B35" s="111" t="s">
        <v>86</v>
      </c>
      <c r="C35" s="47" t="s">
        <v>87</v>
      </c>
      <c r="E35" s="75">
        <f>+H18</f>
        <v>4271560</v>
      </c>
      <c r="F35" s="112">
        <v>0.2</v>
      </c>
      <c r="G35" s="54">
        <f>ROUND(E35*F35,0)</f>
        <v>854312</v>
      </c>
      <c r="H35" s="113"/>
      <c r="I35" s="114"/>
      <c r="K35" s="107" t="s">
        <v>88</v>
      </c>
      <c r="L35" s="108">
        <v>0.3</v>
      </c>
      <c r="M35" s="18">
        <f>ROUND((E34-1000000)*30%,0)</f>
        <v>1558365</v>
      </c>
    </row>
    <row r="36" spans="1:14" ht="15" customHeight="1" thickBot="1" x14ac:dyDescent="0.3">
      <c r="A36" s="28"/>
      <c r="D36" s="110"/>
      <c r="E36" s="7"/>
      <c r="G36" s="37">
        <f>G34+G35</f>
        <v>2522677</v>
      </c>
      <c r="H36" s="115"/>
      <c r="I36" s="116"/>
      <c r="M36" s="117">
        <f>SUM(M33:M35)</f>
        <v>1668365</v>
      </c>
    </row>
    <row r="37" spans="1:14" ht="15" customHeight="1" thickTop="1" x14ac:dyDescent="0.25">
      <c r="A37" s="28"/>
      <c r="B37" s="47" t="s">
        <v>89</v>
      </c>
      <c r="C37" s="47" t="s">
        <v>90</v>
      </c>
      <c r="D37" s="110"/>
      <c r="E37" s="7"/>
      <c r="G37" s="118">
        <f>IF(H32&gt;350000,0,IF(G36&gt;2500,2500,G36))</f>
        <v>0</v>
      </c>
      <c r="H37" s="119">
        <f>G36-G37</f>
        <v>2522677</v>
      </c>
      <c r="I37" s="120"/>
    </row>
    <row r="38" spans="1:14" ht="15" customHeight="1" x14ac:dyDescent="0.25">
      <c r="A38" s="28"/>
      <c r="B38" s="18" t="s">
        <v>91</v>
      </c>
      <c r="C38" s="47"/>
      <c r="D38" s="110"/>
      <c r="E38" s="7"/>
      <c r="G38" s="121">
        <v>0.15</v>
      </c>
      <c r="H38" s="122">
        <f>IF(H32&gt;10000000,H37*15%,IF(H32&gt;5000000,H37*10%,0))</f>
        <v>378401.55</v>
      </c>
      <c r="I38" s="123"/>
    </row>
    <row r="39" spans="1:14" ht="15" customHeight="1" x14ac:dyDescent="0.25">
      <c r="A39" s="28"/>
      <c r="C39" s="47"/>
      <c r="D39" s="110"/>
      <c r="E39" s="7"/>
      <c r="G39" s="37"/>
      <c r="H39" s="119">
        <f>H37+H38</f>
        <v>2901078.55</v>
      </c>
      <c r="I39" s="120"/>
      <c r="K39" s="124" t="s">
        <v>92</v>
      </c>
      <c r="L39" s="125" t="s">
        <v>93</v>
      </c>
      <c r="M39" s="125" t="s">
        <v>94</v>
      </c>
    </row>
    <row r="40" spans="1:14" ht="15" customHeight="1" x14ac:dyDescent="0.25">
      <c r="A40" s="28"/>
      <c r="B40" s="47" t="s">
        <v>95</v>
      </c>
      <c r="D40" s="110"/>
      <c r="E40" s="7"/>
      <c r="G40" s="121">
        <v>0.04</v>
      </c>
      <c r="H40" s="122">
        <f>ROUND((H39)*0.04,0)</f>
        <v>116043</v>
      </c>
      <c r="I40" s="123"/>
      <c r="K40" s="126" t="s">
        <v>96</v>
      </c>
      <c r="L40" s="127">
        <v>30000</v>
      </c>
      <c r="M40" s="128">
        <v>720000</v>
      </c>
    </row>
    <row r="41" spans="1:14" ht="15" customHeight="1" x14ac:dyDescent="0.25">
      <c r="A41" s="28"/>
      <c r="B41" s="92" t="s">
        <v>97</v>
      </c>
      <c r="D41" s="110"/>
      <c r="E41" s="99"/>
      <c r="G41" s="7"/>
      <c r="H41" s="115">
        <f>SUM(H39:H40)</f>
        <v>3017121.55</v>
      </c>
      <c r="I41" s="116"/>
      <c r="J41" s="129"/>
      <c r="K41" s="130" t="s">
        <v>98</v>
      </c>
    </row>
    <row r="42" spans="1:14" ht="15" customHeight="1" x14ac:dyDescent="0.3">
      <c r="A42" s="28"/>
      <c r="B42" s="47" t="s">
        <v>99</v>
      </c>
      <c r="D42" s="110"/>
      <c r="E42" s="131">
        <v>44525</v>
      </c>
      <c r="G42" s="132" t="s">
        <v>100</v>
      </c>
      <c r="H42" s="115">
        <f>+H105</f>
        <v>42484</v>
      </c>
      <c r="I42" s="116"/>
      <c r="J42" s="129"/>
      <c r="K42" s="130" t="s">
        <v>101</v>
      </c>
    </row>
    <row r="43" spans="1:14" ht="15" customHeight="1" x14ac:dyDescent="0.25">
      <c r="A43" s="94"/>
      <c r="B43" s="47" t="s">
        <v>102</v>
      </c>
      <c r="C43" s="7"/>
      <c r="D43" s="7"/>
      <c r="E43" s="7"/>
      <c r="G43" s="133" t="s">
        <v>103</v>
      </c>
      <c r="H43" s="134"/>
      <c r="I43" s="135"/>
      <c r="J43" s="129"/>
      <c r="K43" s="130"/>
      <c r="L43" s="25"/>
      <c r="M43" s="136"/>
    </row>
    <row r="44" spans="1:14" ht="15" customHeight="1" x14ac:dyDescent="0.25">
      <c r="A44" s="28"/>
      <c r="B44" s="92" t="s">
        <v>104</v>
      </c>
      <c r="C44" s="7"/>
      <c r="D44" s="7"/>
      <c r="E44" s="7"/>
      <c r="F44" s="7"/>
      <c r="G44" s="7"/>
      <c r="H44" s="53">
        <f>H41+H43+H42</f>
        <v>3059605.55</v>
      </c>
      <c r="I44" s="33"/>
      <c r="J44" s="47"/>
    </row>
    <row r="45" spans="1:14" ht="15" customHeight="1" x14ac:dyDescent="0.25">
      <c r="A45" s="28"/>
      <c r="B45" s="21" t="s">
        <v>105</v>
      </c>
      <c r="C45" s="7"/>
      <c r="D45" s="7"/>
      <c r="E45" s="7"/>
      <c r="F45" s="7"/>
      <c r="G45" s="7"/>
      <c r="H45" s="53"/>
      <c r="I45" s="33"/>
    </row>
    <row r="46" spans="1:14" ht="15" customHeight="1" x14ac:dyDescent="0.3">
      <c r="A46" s="28"/>
      <c r="B46" s="64">
        <v>43984</v>
      </c>
      <c r="C46" s="137" t="s">
        <v>106</v>
      </c>
      <c r="D46" s="137"/>
      <c r="E46" s="138"/>
      <c r="F46" s="138"/>
      <c r="G46" s="75">
        <v>80000</v>
      </c>
      <c r="H46" s="53"/>
      <c r="I46" s="33"/>
      <c r="K46" s="139" t="s">
        <v>107</v>
      </c>
    </row>
    <row r="47" spans="1:14" ht="15" customHeight="1" x14ac:dyDescent="0.3">
      <c r="A47" s="28"/>
      <c r="B47" s="140"/>
      <c r="C47" s="137" t="s">
        <v>108</v>
      </c>
      <c r="D47" s="137"/>
      <c r="E47" s="138" t="s">
        <v>109</v>
      </c>
      <c r="F47" s="141"/>
      <c r="G47" s="75">
        <v>1855000</v>
      </c>
      <c r="H47" s="53"/>
      <c r="I47" s="33"/>
      <c r="K47" s="18" t="s">
        <v>110</v>
      </c>
      <c r="L47" s="25">
        <f>+H10</f>
        <v>6230000</v>
      </c>
      <c r="N47" s="142"/>
    </row>
    <row r="48" spans="1:14" ht="15" customHeight="1" x14ac:dyDescent="0.3">
      <c r="A48" s="28"/>
      <c r="B48" s="140"/>
      <c r="C48" s="137" t="s">
        <v>111</v>
      </c>
      <c r="D48" s="137"/>
      <c r="E48" s="138" t="s">
        <v>112</v>
      </c>
      <c r="F48" s="141"/>
      <c r="G48" s="75">
        <v>20000</v>
      </c>
      <c r="H48" s="53"/>
      <c r="I48" s="33"/>
      <c r="K48" s="29" t="s">
        <v>113</v>
      </c>
      <c r="L48" s="143">
        <f>G28+G30</f>
        <v>200000</v>
      </c>
      <c r="M48" s="25">
        <f>L47-L48</f>
        <v>6030000</v>
      </c>
    </row>
    <row r="49" spans="1:14" ht="15" customHeight="1" x14ac:dyDescent="0.25">
      <c r="A49" s="28"/>
      <c r="B49" s="64"/>
      <c r="G49" s="75"/>
      <c r="H49" s="53">
        <f>SUM(G46:G49)</f>
        <v>1955000</v>
      </c>
      <c r="I49" s="33"/>
      <c r="K49" s="144" t="s">
        <v>114</v>
      </c>
      <c r="M49" s="18">
        <f>110000+(M48-1000000)*0.3</f>
        <v>1619000</v>
      </c>
    </row>
    <row r="50" spans="1:14" ht="15" customHeight="1" thickBot="1" x14ac:dyDescent="0.3">
      <c r="A50" s="145"/>
      <c r="B50" s="146" t="str">
        <f>IF(H50=0,"TAX  PAYABLE / REFUND ",IF(H50&lt;0,"REFUND","TAX  PAYABLE including Interest"))</f>
        <v>TAX  PAYABLE including Interest</v>
      </c>
      <c r="C50" s="147"/>
      <c r="D50" s="148"/>
      <c r="E50" s="148"/>
      <c r="F50" s="149" t="s">
        <v>115</v>
      </c>
      <c r="G50" s="150"/>
      <c r="H50" s="151">
        <f>ROUND((H44-H49)/10,0)*10</f>
        <v>1104610</v>
      </c>
      <c r="I50" s="152"/>
      <c r="K50" s="144" t="s">
        <v>116</v>
      </c>
      <c r="L50" s="108">
        <v>0.1</v>
      </c>
      <c r="M50" s="18">
        <f>M49*L50</f>
        <v>161900</v>
      </c>
    </row>
    <row r="51" spans="1:14" ht="15" customHeight="1" x14ac:dyDescent="0.25">
      <c r="A51" s="153" t="s">
        <v>117</v>
      </c>
      <c r="B51" s="154"/>
      <c r="C51" s="154"/>
      <c r="D51" s="154"/>
      <c r="E51" s="154"/>
      <c r="F51" s="154"/>
      <c r="G51" s="154"/>
      <c r="H51" s="154"/>
      <c r="I51" s="155"/>
      <c r="K51" s="144" t="s">
        <v>118</v>
      </c>
      <c r="L51" s="108">
        <v>0.04</v>
      </c>
      <c r="M51" s="18">
        <f>ROUND((M50+M49)*0.04,0)</f>
        <v>71236</v>
      </c>
    </row>
    <row r="52" spans="1:14" ht="15" customHeight="1" thickBot="1" x14ac:dyDescent="0.3">
      <c r="A52" s="156">
        <v>44525</v>
      </c>
      <c r="B52" s="157"/>
      <c r="C52" s="158" t="s">
        <v>119</v>
      </c>
      <c r="D52" s="159"/>
      <c r="E52" s="160" t="s">
        <v>120</v>
      </c>
      <c r="F52" s="161" t="s">
        <v>121</v>
      </c>
      <c r="G52" s="161"/>
      <c r="H52" s="161"/>
      <c r="I52" s="162"/>
      <c r="M52" s="163">
        <f>SUM(M49:M51)</f>
        <v>1852136</v>
      </c>
    </row>
    <row r="53" spans="1:14" ht="15" customHeight="1" x14ac:dyDescent="0.25">
      <c r="A53" s="164"/>
      <c r="B53" s="165"/>
      <c r="C53" s="165"/>
      <c r="D53" s="165"/>
      <c r="E53" s="165"/>
      <c r="F53" s="165"/>
      <c r="G53" s="165"/>
      <c r="H53" s="165"/>
      <c r="I53" s="165"/>
      <c r="M53" s="37" t="s">
        <v>122</v>
      </c>
      <c r="N53" s="166">
        <f>+E35</f>
        <v>4271560</v>
      </c>
    </row>
    <row r="54" spans="1:14" ht="15" customHeight="1" x14ac:dyDescent="0.25">
      <c r="A54" s="164"/>
      <c r="B54" s="18" t="s">
        <v>123</v>
      </c>
      <c r="C54" s="165"/>
      <c r="D54" s="165" t="s">
        <v>124</v>
      </c>
      <c r="E54" s="165" t="s">
        <v>125</v>
      </c>
      <c r="F54" s="47" t="s">
        <v>126</v>
      </c>
      <c r="G54" s="165"/>
      <c r="H54" s="167" t="s">
        <v>127</v>
      </c>
      <c r="I54" s="165"/>
      <c r="K54" s="144" t="s">
        <v>114</v>
      </c>
      <c r="N54" s="168">
        <f>ROUND(N53*20%,0)</f>
        <v>854312</v>
      </c>
    </row>
    <row r="55" spans="1:14" ht="15" customHeight="1" x14ac:dyDescent="0.25">
      <c r="A55" s="169"/>
      <c r="B55" s="170" t="s">
        <v>128</v>
      </c>
      <c r="C55" s="171"/>
      <c r="D55" s="171" t="s">
        <v>129</v>
      </c>
      <c r="E55" s="171" t="s">
        <v>130</v>
      </c>
      <c r="F55" s="171" t="s">
        <v>131</v>
      </c>
      <c r="G55" s="171" t="s">
        <v>132</v>
      </c>
      <c r="H55" s="172" t="s">
        <v>133</v>
      </c>
      <c r="I55" s="165"/>
      <c r="K55" s="144" t="s">
        <v>116</v>
      </c>
      <c r="L55" s="108">
        <v>0.1</v>
      </c>
      <c r="N55" s="166">
        <f>N54*L55</f>
        <v>85431.200000000012</v>
      </c>
    </row>
    <row r="56" spans="1:14" ht="15" customHeight="1" x14ac:dyDescent="0.25">
      <c r="A56" s="164"/>
      <c r="B56" s="18" t="s">
        <v>134</v>
      </c>
      <c r="C56" s="165"/>
      <c r="D56" s="165" t="s">
        <v>135</v>
      </c>
      <c r="E56" s="165" t="s">
        <v>130</v>
      </c>
      <c r="F56" s="165" t="s">
        <v>131</v>
      </c>
      <c r="G56" s="165" t="s">
        <v>132</v>
      </c>
      <c r="H56" s="167" t="s">
        <v>133</v>
      </c>
      <c r="I56" s="165"/>
      <c r="K56" s="144" t="s">
        <v>118</v>
      </c>
      <c r="L56" s="108">
        <v>0.04</v>
      </c>
      <c r="N56" s="168">
        <f>ROUND((N55+N54)*0.04,0)</f>
        <v>37590</v>
      </c>
    </row>
    <row r="57" spans="1:14" ht="15" customHeight="1" thickBot="1" x14ac:dyDescent="0.3">
      <c r="N57" s="173">
        <f>SUM(N54:N56)</f>
        <v>977333.2</v>
      </c>
    </row>
    <row r="58" spans="1:14" ht="15" customHeight="1" thickTop="1" thickBot="1" x14ac:dyDescent="0.3"/>
    <row r="59" spans="1:14" ht="15" customHeight="1" x14ac:dyDescent="0.25">
      <c r="A59" s="164"/>
      <c r="B59" s="174"/>
      <c r="C59" s="175"/>
      <c r="D59" s="165"/>
      <c r="E59" s="76"/>
      <c r="F59" s="176" t="s">
        <v>136</v>
      </c>
      <c r="G59" s="176"/>
      <c r="H59" s="176"/>
      <c r="I59" s="165"/>
      <c r="J59" s="91"/>
      <c r="K59" s="177" t="s">
        <v>137</v>
      </c>
      <c r="L59" s="178"/>
      <c r="M59" s="179"/>
      <c r="N59" s="179"/>
    </row>
    <row r="60" spans="1:14" ht="15" customHeight="1" x14ac:dyDescent="0.25">
      <c r="A60" s="164"/>
      <c r="B60" s="79"/>
      <c r="C60" s="180"/>
      <c r="D60" s="165"/>
      <c r="F60" s="181" t="s">
        <v>138</v>
      </c>
      <c r="G60" s="181"/>
      <c r="H60" s="182">
        <f>G9+31000</f>
        <v>6311000</v>
      </c>
      <c r="I60" s="165"/>
      <c r="J60" s="91"/>
      <c r="K60" s="183" t="s">
        <v>139</v>
      </c>
      <c r="L60" s="184" t="s">
        <v>140</v>
      </c>
      <c r="M60" s="179"/>
      <c r="N60" s="179"/>
    </row>
    <row r="61" spans="1:14" ht="15" customHeight="1" x14ac:dyDescent="0.25">
      <c r="B61" s="185"/>
      <c r="C61" s="186"/>
      <c r="E61" s="187">
        <f>+H18</f>
        <v>4271560</v>
      </c>
      <c r="F61" s="188" t="s">
        <v>141</v>
      </c>
      <c r="G61" s="188"/>
      <c r="J61" s="91"/>
      <c r="K61" s="183" t="s">
        <v>142</v>
      </c>
      <c r="L61" s="189">
        <v>0.05</v>
      </c>
    </row>
    <row r="62" spans="1:14" ht="15" customHeight="1" x14ac:dyDescent="0.25">
      <c r="B62" s="190"/>
      <c r="C62" s="190"/>
      <c r="F62" s="143" t="s">
        <v>143</v>
      </c>
      <c r="G62" s="143"/>
      <c r="H62" s="191">
        <f>+H23</f>
        <v>214550</v>
      </c>
      <c r="J62" s="91"/>
      <c r="K62" s="183" t="s">
        <v>144</v>
      </c>
      <c r="L62" s="189">
        <v>0.2</v>
      </c>
    </row>
    <row r="63" spans="1:14" ht="15" customHeight="1" thickBot="1" x14ac:dyDescent="0.3">
      <c r="B63" s="190"/>
      <c r="C63" s="192"/>
      <c r="E63" s="193"/>
      <c r="F63" s="194"/>
      <c r="G63" s="195" t="s">
        <v>145</v>
      </c>
      <c r="H63" s="196">
        <f>SUM(H60:H62)</f>
        <v>6525550</v>
      </c>
      <c r="J63" s="91"/>
      <c r="K63" s="183" t="s">
        <v>146</v>
      </c>
      <c r="L63" s="189">
        <v>0.3</v>
      </c>
    </row>
    <row r="64" spans="1:14" ht="15" customHeight="1" thickTop="1" x14ac:dyDescent="0.25">
      <c r="B64" s="190"/>
      <c r="C64" s="192"/>
      <c r="F64" s="30" t="s">
        <v>114</v>
      </c>
      <c r="H64" s="197">
        <v>1695165</v>
      </c>
      <c r="J64" s="91"/>
      <c r="K64" s="198" t="s">
        <v>136</v>
      </c>
      <c r="L64" s="199"/>
    </row>
    <row r="65" spans="1:14" ht="15" customHeight="1" x14ac:dyDescent="0.25">
      <c r="B65" s="190"/>
      <c r="C65" s="192"/>
      <c r="F65" s="30" t="s">
        <v>147</v>
      </c>
      <c r="H65" s="200">
        <f>ROUND(E61*20%,0)</f>
        <v>854312</v>
      </c>
      <c r="J65" s="91"/>
      <c r="K65" s="201" t="s">
        <v>148</v>
      </c>
      <c r="L65" s="202" t="s">
        <v>140</v>
      </c>
    </row>
    <row r="66" spans="1:14" ht="15" customHeight="1" x14ac:dyDescent="0.25">
      <c r="B66" s="190"/>
      <c r="C66" s="192"/>
      <c r="H66" s="170">
        <f>H64+H65</f>
        <v>2549477</v>
      </c>
      <c r="J66" s="91"/>
      <c r="K66" s="201" t="s">
        <v>142</v>
      </c>
      <c r="L66" s="203">
        <v>0.05</v>
      </c>
    </row>
    <row r="67" spans="1:14" ht="15" customHeight="1" x14ac:dyDescent="0.25">
      <c r="B67" s="190"/>
      <c r="C67" s="192"/>
      <c r="E67" s="91"/>
      <c r="F67" s="108">
        <v>0.15</v>
      </c>
      <c r="G67" s="30" t="s">
        <v>116</v>
      </c>
      <c r="H67" s="143">
        <f>ROUND((H64+H65)*0.15,0)</f>
        <v>382422</v>
      </c>
      <c r="J67" s="91"/>
      <c r="K67" s="201" t="s">
        <v>149</v>
      </c>
      <c r="L67" s="203">
        <v>0.1</v>
      </c>
    </row>
    <row r="68" spans="1:14" ht="15" customHeight="1" x14ac:dyDescent="0.25">
      <c r="B68" s="190"/>
      <c r="C68" s="192"/>
      <c r="F68" s="7"/>
      <c r="H68" s="18">
        <f>H64+H67+H65</f>
        <v>2931899</v>
      </c>
      <c r="J68" s="91"/>
      <c r="K68" s="201" t="s">
        <v>150</v>
      </c>
      <c r="L68" s="203">
        <v>0.15</v>
      </c>
    </row>
    <row r="69" spans="1:14" ht="15" customHeight="1" x14ac:dyDescent="0.25">
      <c r="B69" s="190"/>
      <c r="C69" s="192"/>
      <c r="F69" s="108">
        <v>0.04</v>
      </c>
      <c r="G69" s="30" t="s">
        <v>118</v>
      </c>
      <c r="H69" s="18">
        <f>ROUND(H68*4%,0)</f>
        <v>117276</v>
      </c>
      <c r="J69" s="91"/>
      <c r="K69" s="201" t="s">
        <v>151</v>
      </c>
      <c r="L69" s="203">
        <v>0.2</v>
      </c>
    </row>
    <row r="70" spans="1:14" ht="15" customHeight="1" thickBot="1" x14ac:dyDescent="0.3">
      <c r="B70" s="190"/>
      <c r="C70" s="192"/>
      <c r="E70" s="193"/>
      <c r="F70" s="194"/>
      <c r="G70" s="204" t="s">
        <v>152</v>
      </c>
      <c r="H70" s="205">
        <f>SUM(H68:H69)</f>
        <v>3049175</v>
      </c>
      <c r="J70" s="91"/>
      <c r="K70" s="201" t="s">
        <v>153</v>
      </c>
      <c r="L70" s="203">
        <v>0.25</v>
      </c>
    </row>
    <row r="71" spans="1:14" ht="15" customHeight="1" thickTop="1" thickBot="1" x14ac:dyDescent="0.3">
      <c r="B71" s="190"/>
      <c r="C71" s="192"/>
      <c r="G71" s="30"/>
      <c r="J71" s="91"/>
      <c r="K71" s="201" t="s">
        <v>154</v>
      </c>
      <c r="L71" s="203">
        <v>0.3</v>
      </c>
    </row>
    <row r="72" spans="1:14" ht="15" customHeight="1" x14ac:dyDescent="0.25">
      <c r="B72" s="206" t="s">
        <v>155</v>
      </c>
      <c r="C72" s="207"/>
      <c r="D72" s="207"/>
      <c r="E72" s="207"/>
      <c r="F72" s="207"/>
      <c r="G72" s="208" t="s">
        <v>156</v>
      </c>
      <c r="H72" s="209">
        <f>+H105</f>
        <v>42484</v>
      </c>
      <c r="J72" s="210"/>
      <c r="K72" s="211" t="s">
        <v>157</v>
      </c>
      <c r="L72" s="212"/>
    </row>
    <row r="73" spans="1:14" ht="15" customHeight="1" x14ac:dyDescent="0.25">
      <c r="B73" s="213" t="s">
        <v>158</v>
      </c>
      <c r="C73" s="214"/>
      <c r="D73" s="214"/>
      <c r="E73" s="214"/>
      <c r="F73" s="214"/>
      <c r="G73" s="215"/>
      <c r="H73" s="216"/>
      <c r="J73" s="210"/>
      <c r="K73" s="217" t="s">
        <v>159</v>
      </c>
      <c r="L73" s="218"/>
      <c r="M73" s="219" t="s">
        <v>160</v>
      </c>
      <c r="N73" s="220" t="s">
        <v>161</v>
      </c>
    </row>
    <row r="74" spans="1:14" ht="15" customHeight="1" x14ac:dyDescent="0.25">
      <c r="B74" s="221" t="s">
        <v>162</v>
      </c>
      <c r="C74" s="214"/>
      <c r="D74" s="214"/>
      <c r="E74" s="222">
        <f>+H41</f>
        <v>3017121.55</v>
      </c>
      <c r="G74" s="214"/>
      <c r="I74" s="214"/>
      <c r="J74" s="223"/>
      <c r="K74" s="224" t="s">
        <v>163</v>
      </c>
      <c r="L74" s="225"/>
      <c r="M74" s="219" t="s">
        <v>164</v>
      </c>
      <c r="N74" s="226" t="s">
        <v>165</v>
      </c>
    </row>
    <row r="75" spans="1:14" ht="15" customHeight="1" x14ac:dyDescent="0.25">
      <c r="B75" s="221" t="s">
        <v>166</v>
      </c>
      <c r="C75" s="214"/>
      <c r="D75" s="214"/>
      <c r="E75" s="222">
        <v>-1875000</v>
      </c>
      <c r="G75" s="214"/>
      <c r="I75" s="214"/>
      <c r="J75" s="223"/>
      <c r="K75" s="224" t="s">
        <v>167</v>
      </c>
      <c r="L75" s="225"/>
      <c r="M75" s="227" t="s">
        <v>168</v>
      </c>
      <c r="N75" s="226" t="s">
        <v>169</v>
      </c>
    </row>
    <row r="76" spans="1:14" ht="15" customHeight="1" thickBot="1" x14ac:dyDescent="0.3">
      <c r="B76" s="221" t="s">
        <v>170</v>
      </c>
      <c r="C76" s="214"/>
      <c r="D76" s="214"/>
      <c r="E76" s="228">
        <f>E74+E75</f>
        <v>1142121.5499999998</v>
      </c>
      <c r="G76" s="214"/>
      <c r="I76" s="214"/>
      <c r="J76" s="214"/>
      <c r="K76" s="229" t="s">
        <v>171</v>
      </c>
      <c r="L76" s="230"/>
      <c r="M76" s="227" t="s">
        <v>172</v>
      </c>
      <c r="N76" s="226" t="s">
        <v>173</v>
      </c>
    </row>
    <row r="77" spans="1:14" ht="15" customHeight="1" thickTop="1" x14ac:dyDescent="0.25">
      <c r="C77" s="214"/>
      <c r="D77" s="214"/>
      <c r="E77" s="231">
        <f>IF(E76&gt;10000,E76,0)</f>
        <v>1142121.5499999998</v>
      </c>
      <c r="G77" s="214"/>
      <c r="J77" s="232"/>
    </row>
    <row r="78" spans="1:14" ht="25.5" customHeight="1" x14ac:dyDescent="0.25">
      <c r="B78" s="233" t="s">
        <v>174</v>
      </c>
      <c r="C78" s="233" t="s">
        <v>175</v>
      </c>
      <c r="D78" s="233" t="s">
        <v>176</v>
      </c>
      <c r="E78" s="233" t="s">
        <v>177</v>
      </c>
      <c r="F78" s="234" t="s">
        <v>178</v>
      </c>
      <c r="G78" s="235" t="s">
        <v>179</v>
      </c>
      <c r="H78" s="233" t="s">
        <v>180</v>
      </c>
      <c r="J78" s="236"/>
    </row>
    <row r="79" spans="1:14" ht="15" customHeight="1" x14ac:dyDescent="0.25">
      <c r="A79" s="237">
        <v>1</v>
      </c>
      <c r="B79" s="238">
        <v>43984</v>
      </c>
      <c r="C79" s="239">
        <v>80000</v>
      </c>
      <c r="D79" s="238">
        <v>43997</v>
      </c>
      <c r="E79" s="222">
        <f>E77*0.15</f>
        <v>171318.23249999995</v>
      </c>
      <c r="F79" s="222">
        <f>ROUNDDOWN(+E79,-2)</f>
        <v>171300</v>
      </c>
      <c r="G79" s="222">
        <f>(F79-C79)</f>
        <v>91300</v>
      </c>
      <c r="H79" s="240">
        <f>IF(G79&gt;0,G79*0.12/12*3,0)</f>
        <v>2739</v>
      </c>
    </row>
    <row r="80" spans="1:14" ht="15" customHeight="1" x14ac:dyDescent="0.25">
      <c r="A80" s="237">
        <v>2</v>
      </c>
      <c r="B80" s="238"/>
      <c r="C80" s="239"/>
      <c r="D80" s="238">
        <v>44089</v>
      </c>
      <c r="E80" s="222">
        <f>E77*0.45</f>
        <v>513954.69749999995</v>
      </c>
      <c r="F80" s="222">
        <f>ROUNDDOWN(+E80,-2)</f>
        <v>513900</v>
      </c>
      <c r="G80" s="222">
        <f>(F80-C80-C79)</f>
        <v>433900</v>
      </c>
      <c r="H80" s="240">
        <f>IF(G80&gt;0,G80*0.12/12*3,0)</f>
        <v>13017</v>
      </c>
    </row>
    <row r="81" spans="1:11" ht="15" customHeight="1" x14ac:dyDescent="0.25">
      <c r="A81" s="237">
        <v>3</v>
      </c>
      <c r="B81" s="238"/>
      <c r="C81" s="239"/>
      <c r="D81" s="238">
        <v>44180</v>
      </c>
      <c r="E81" s="222">
        <f>E77*0.75</f>
        <v>856591.16249999986</v>
      </c>
      <c r="F81" s="222">
        <f>ROUNDDOWN(+E81,-2)</f>
        <v>856500</v>
      </c>
      <c r="G81" s="222">
        <f>(F81-(C79+C80+C81))</f>
        <v>776500</v>
      </c>
      <c r="H81" s="240">
        <f>IF(G81&gt;0,G81*0.12/12*3,0)</f>
        <v>23295</v>
      </c>
    </row>
    <row r="82" spans="1:11" ht="15" customHeight="1" x14ac:dyDescent="0.25">
      <c r="A82" s="237">
        <v>4</v>
      </c>
      <c r="B82" s="238"/>
      <c r="C82" s="239"/>
      <c r="D82" s="238">
        <v>44270</v>
      </c>
      <c r="E82" s="222">
        <f>E77*1</f>
        <v>1142121.5499999998</v>
      </c>
      <c r="F82" s="222">
        <f>ROUNDDOWN(+E82,-2)</f>
        <v>1142100</v>
      </c>
      <c r="G82" s="222">
        <f>(F82-(C79+C80+C81+C82))</f>
        <v>1062100</v>
      </c>
      <c r="H82" s="240">
        <f>IF(G82&gt;0,G82*0.12/12,0)</f>
        <v>10621</v>
      </c>
    </row>
    <row r="83" spans="1:11" ht="15" customHeight="1" x14ac:dyDescent="0.25">
      <c r="A83" s="237">
        <v>5</v>
      </c>
      <c r="B83" s="238"/>
      <c r="C83" s="239"/>
      <c r="D83" s="238">
        <v>44286</v>
      </c>
      <c r="F83" s="241"/>
      <c r="G83" s="241"/>
      <c r="H83" s="25"/>
      <c r="I83" s="241"/>
      <c r="J83" s="241"/>
      <c r="K83" s="242"/>
    </row>
    <row r="84" spans="1:11" ht="15" customHeight="1" thickBot="1" x14ac:dyDescent="0.3">
      <c r="B84" s="214"/>
      <c r="C84" s="243">
        <f>SUM(C79:C83)</f>
        <v>80000</v>
      </c>
      <c r="D84" s="214"/>
      <c r="E84" s="214"/>
      <c r="F84" s="214"/>
      <c r="G84" s="214"/>
      <c r="H84" s="244" t="s">
        <v>140</v>
      </c>
    </row>
    <row r="85" spans="1:11" ht="15" customHeight="1" thickTop="1" thickBot="1" x14ac:dyDescent="0.3">
      <c r="A85" s="245"/>
      <c r="B85" s="246"/>
      <c r="C85" s="247"/>
      <c r="D85" s="246"/>
      <c r="E85" s="246"/>
      <c r="F85" s="246"/>
      <c r="G85" s="246"/>
      <c r="H85" s="246"/>
    </row>
    <row r="86" spans="1:11" ht="15" customHeight="1" x14ac:dyDescent="0.25">
      <c r="B86" s="213" t="s">
        <v>181</v>
      </c>
      <c r="C86" s="248"/>
      <c r="D86" s="214"/>
      <c r="E86" s="214"/>
      <c r="F86" s="214"/>
      <c r="G86" s="214"/>
      <c r="H86" s="236" t="s">
        <v>180</v>
      </c>
    </row>
    <row r="87" spans="1:11" ht="15" customHeight="1" x14ac:dyDescent="0.25">
      <c r="B87" s="221" t="s">
        <v>162</v>
      </c>
      <c r="C87" s="214"/>
      <c r="D87" s="214"/>
      <c r="E87" s="222">
        <f>+E74</f>
        <v>3017121.55</v>
      </c>
      <c r="F87" s="214"/>
      <c r="G87" s="249">
        <v>44287</v>
      </c>
      <c r="H87" s="240">
        <f>$F$94*0.01</f>
        <v>10621</v>
      </c>
    </row>
    <row r="88" spans="1:11" ht="15" customHeight="1" x14ac:dyDescent="0.25">
      <c r="B88" s="250" t="s">
        <v>166</v>
      </c>
      <c r="C88" s="214"/>
      <c r="D88" s="214"/>
      <c r="E88" s="222">
        <f>+E75</f>
        <v>-1875000</v>
      </c>
      <c r="F88" s="214"/>
      <c r="G88" s="249">
        <v>44317</v>
      </c>
      <c r="H88" s="240">
        <f t="shared" ref="H88:H94" si="0">$F$94*0.01</f>
        <v>10621</v>
      </c>
    </row>
    <row r="89" spans="1:11" ht="15" customHeight="1" thickBot="1" x14ac:dyDescent="0.3">
      <c r="B89" s="250"/>
      <c r="C89" s="214"/>
      <c r="D89" s="214"/>
      <c r="E89" s="228">
        <f>E87+E88</f>
        <v>1142121.5499999998</v>
      </c>
      <c r="G89" s="249">
        <v>44348</v>
      </c>
      <c r="H89" s="240">
        <f t="shared" si="0"/>
        <v>10621</v>
      </c>
    </row>
    <row r="90" spans="1:11" ht="15" customHeight="1" thickTop="1" x14ac:dyDescent="0.25">
      <c r="F90" s="214"/>
      <c r="G90" s="249">
        <v>44378</v>
      </c>
      <c r="H90" s="240">
        <f t="shared" si="0"/>
        <v>10621</v>
      </c>
    </row>
    <row r="91" spans="1:11" ht="15" customHeight="1" x14ac:dyDescent="0.25">
      <c r="B91" s="214" t="s">
        <v>182</v>
      </c>
      <c r="C91" s="248"/>
      <c r="D91" s="251">
        <v>0.9</v>
      </c>
      <c r="E91" s="252">
        <f>ROUND(E89*90%,0)</f>
        <v>1027909</v>
      </c>
      <c r="F91" s="214"/>
      <c r="G91" s="249">
        <v>44409</v>
      </c>
      <c r="H91" s="240">
        <f t="shared" si="0"/>
        <v>10621</v>
      </c>
    </row>
    <row r="92" spans="1:11" ht="15" customHeight="1" x14ac:dyDescent="0.25">
      <c r="B92" s="214"/>
      <c r="C92" s="248"/>
      <c r="D92" s="251"/>
      <c r="E92" s="252"/>
      <c r="F92" s="214"/>
      <c r="G92" s="249">
        <v>44440</v>
      </c>
      <c r="H92" s="240">
        <f t="shared" si="0"/>
        <v>10621</v>
      </c>
    </row>
    <row r="93" spans="1:11" ht="15" customHeight="1" x14ac:dyDescent="0.25">
      <c r="B93" s="214" t="s">
        <v>183</v>
      </c>
      <c r="C93" s="248"/>
      <c r="D93" s="214"/>
      <c r="E93" s="222">
        <f>ROUND(+C84,0)</f>
        <v>80000</v>
      </c>
      <c r="F93" s="214"/>
      <c r="G93" s="249">
        <v>44470</v>
      </c>
      <c r="H93" s="240">
        <f t="shared" si="0"/>
        <v>10621</v>
      </c>
    </row>
    <row r="94" spans="1:11" ht="15" customHeight="1" x14ac:dyDescent="0.25">
      <c r="B94" s="18" t="s">
        <v>184</v>
      </c>
      <c r="C94" s="248"/>
      <c r="D94" s="214"/>
      <c r="E94" s="222">
        <f>E89-E93</f>
        <v>1062121.5499999998</v>
      </c>
      <c r="F94" s="222">
        <f>ROUNDDOWN(E94,-2)</f>
        <v>1062100</v>
      </c>
      <c r="G94" s="249">
        <v>44501</v>
      </c>
      <c r="H94" s="240">
        <f t="shared" si="0"/>
        <v>10621</v>
      </c>
    </row>
    <row r="95" spans="1:11" ht="15" customHeight="1" x14ac:dyDescent="0.25">
      <c r="C95" s="248"/>
      <c r="D95" s="214"/>
      <c r="E95" s="222"/>
      <c r="F95" s="222"/>
      <c r="G95" s="249">
        <v>44531</v>
      </c>
      <c r="H95" s="253"/>
    </row>
    <row r="96" spans="1:11" ht="15" customHeight="1" thickBot="1" x14ac:dyDescent="0.3">
      <c r="C96" s="248"/>
      <c r="D96" s="214"/>
      <c r="E96" s="222"/>
      <c r="F96" s="222"/>
      <c r="G96" s="254"/>
      <c r="H96" s="244" t="s">
        <v>140</v>
      </c>
    </row>
    <row r="97" spans="1:12" ht="15" customHeight="1" thickTop="1" thickBot="1" x14ac:dyDescent="0.3">
      <c r="A97" s="245"/>
      <c r="B97" s="255"/>
      <c r="C97" s="256"/>
      <c r="D97" s="255"/>
      <c r="E97" s="257"/>
      <c r="F97" s="258"/>
      <c r="G97" s="246"/>
      <c r="H97" s="259"/>
    </row>
    <row r="98" spans="1:12" ht="15" customHeight="1" x14ac:dyDescent="0.25">
      <c r="B98" s="213" t="s">
        <v>185</v>
      </c>
      <c r="C98" s="260"/>
      <c r="D98" s="260"/>
      <c r="E98" s="260"/>
      <c r="F98" s="260"/>
      <c r="G98" s="260"/>
      <c r="H98" s="260"/>
      <c r="I98" s="260"/>
      <c r="J98" s="248"/>
    </row>
    <row r="99" spans="1:12" ht="15" customHeight="1" x14ac:dyDescent="0.25">
      <c r="B99" s="221" t="s">
        <v>162</v>
      </c>
      <c r="C99" s="214"/>
      <c r="D99" s="214"/>
      <c r="E99" s="222">
        <f>+E74</f>
        <v>3017121.55</v>
      </c>
      <c r="F99" s="260"/>
      <c r="G99" s="214"/>
      <c r="H99" s="236" t="s">
        <v>180</v>
      </c>
      <c r="I99" s="260"/>
      <c r="J99" s="248"/>
      <c r="L99" s="240"/>
    </row>
    <row r="100" spans="1:12" ht="15" customHeight="1" x14ac:dyDescent="0.25">
      <c r="B100" s="250" t="s">
        <v>166</v>
      </c>
      <c r="C100" s="214"/>
      <c r="D100" s="214"/>
      <c r="E100" s="222">
        <f>+E75</f>
        <v>-1875000</v>
      </c>
      <c r="F100" s="260"/>
      <c r="G100" s="249">
        <v>44409</v>
      </c>
      <c r="H100" s="240">
        <f>E103*0.01</f>
        <v>10621</v>
      </c>
      <c r="I100" s="260"/>
      <c r="J100" s="248"/>
      <c r="L100" s="25"/>
    </row>
    <row r="101" spans="1:12" ht="15" customHeight="1" x14ac:dyDescent="0.25">
      <c r="B101" s="250" t="s">
        <v>186</v>
      </c>
      <c r="C101" s="214"/>
      <c r="D101" s="214"/>
      <c r="E101" s="222">
        <v>-80000</v>
      </c>
      <c r="F101" s="260"/>
      <c r="G101" s="249">
        <v>44440</v>
      </c>
      <c r="H101" s="240">
        <f>+H100</f>
        <v>10621</v>
      </c>
      <c r="I101" s="260"/>
      <c r="J101" s="248"/>
      <c r="L101" s="25"/>
    </row>
    <row r="102" spans="1:12" ht="15" customHeight="1" thickBot="1" x14ac:dyDescent="0.3">
      <c r="E102" s="228">
        <f>SUM(E99:E101)</f>
        <v>1062121.5499999998</v>
      </c>
      <c r="F102" s="260"/>
      <c r="G102" s="249">
        <v>44470</v>
      </c>
      <c r="H102" s="240">
        <f t="shared" ref="H102:H103" si="1">+H101</f>
        <v>10621</v>
      </c>
      <c r="I102" s="260"/>
      <c r="J102" s="248"/>
      <c r="L102" s="25"/>
    </row>
    <row r="103" spans="1:12" ht="15" customHeight="1" thickTop="1" x14ac:dyDescent="0.25">
      <c r="C103" s="214"/>
      <c r="D103" s="214"/>
      <c r="E103" s="222">
        <f>ROUNDDOWN(+E102,-2)</f>
        <v>1062100</v>
      </c>
      <c r="F103" s="260"/>
      <c r="G103" s="249">
        <v>44501</v>
      </c>
      <c r="H103" s="240">
        <f t="shared" si="1"/>
        <v>10621</v>
      </c>
      <c r="I103" s="260"/>
      <c r="J103" s="248"/>
    </row>
    <row r="104" spans="1:12" ht="15" customHeight="1" x14ac:dyDescent="0.25">
      <c r="C104" s="214"/>
      <c r="D104" s="214"/>
      <c r="E104" s="222"/>
      <c r="F104" s="260"/>
      <c r="G104" s="249">
        <v>44531</v>
      </c>
      <c r="H104" s="260"/>
      <c r="I104" s="260"/>
      <c r="J104" s="248"/>
    </row>
    <row r="105" spans="1:12" ht="15" customHeight="1" thickBot="1" x14ac:dyDescent="0.3">
      <c r="C105" s="214"/>
      <c r="D105" s="214"/>
      <c r="E105" s="222"/>
      <c r="F105" s="260"/>
      <c r="G105" s="260"/>
      <c r="H105" s="244">
        <f>SUM(H100:H104)</f>
        <v>42484</v>
      </c>
      <c r="I105" s="260"/>
      <c r="J105" s="248"/>
    </row>
    <row r="106" spans="1:12" ht="15" customHeight="1" thickTop="1" thickBot="1" x14ac:dyDescent="0.3">
      <c r="C106" s="214"/>
      <c r="D106" s="214"/>
      <c r="E106" s="222"/>
      <c r="F106" s="260"/>
      <c r="G106" s="260"/>
      <c r="H106" s="260"/>
      <c r="I106" s="260"/>
      <c r="J106" s="248"/>
    </row>
    <row r="107" spans="1:12" s="47" customFormat="1" ht="15" customHeight="1" x14ac:dyDescent="0.25">
      <c r="A107" s="261" t="s">
        <v>187</v>
      </c>
      <c r="B107" s="262"/>
      <c r="C107" s="262"/>
      <c r="D107" s="262"/>
      <c r="E107" s="262"/>
      <c r="F107" s="262"/>
      <c r="G107" s="263" t="s">
        <v>188</v>
      </c>
      <c r="H107" s="264"/>
      <c r="K107" s="265"/>
      <c r="L107" s="266"/>
    </row>
    <row r="108" spans="1:12" s="47" customFormat="1" ht="15" customHeight="1" x14ac:dyDescent="0.25">
      <c r="A108" s="267" t="s">
        <v>189</v>
      </c>
      <c r="H108" s="106"/>
      <c r="K108" s="268"/>
      <c r="L108" s="266"/>
    </row>
    <row r="109" spans="1:12" s="47" customFormat="1" ht="15" customHeight="1" x14ac:dyDescent="0.25">
      <c r="A109" s="267" t="s">
        <v>190</v>
      </c>
      <c r="H109" s="106"/>
      <c r="K109" s="268"/>
      <c r="L109" s="266"/>
    </row>
    <row r="110" spans="1:12" s="47" customFormat="1" ht="15" customHeight="1" x14ac:dyDescent="0.2">
      <c r="A110" s="269" t="s">
        <v>191</v>
      </c>
      <c r="B110" s="270" t="s">
        <v>192</v>
      </c>
      <c r="C110" s="270"/>
      <c r="D110" s="270"/>
      <c r="E110" s="270"/>
      <c r="F110" s="270"/>
      <c r="G110" s="270"/>
      <c r="H110" s="271"/>
      <c r="I110" s="30"/>
      <c r="K110" s="272" t="s">
        <v>193</v>
      </c>
      <c r="L110" s="266"/>
    </row>
    <row r="111" spans="1:12" s="47" customFormat="1" ht="26.25" customHeight="1" x14ac:dyDescent="0.2">
      <c r="A111" s="269" t="s">
        <v>194</v>
      </c>
      <c r="B111" s="270" t="s">
        <v>195</v>
      </c>
      <c r="C111" s="270"/>
      <c r="D111" s="270"/>
      <c r="E111" s="270"/>
      <c r="F111" s="270"/>
      <c r="G111" s="270"/>
      <c r="H111" s="271"/>
      <c r="I111" s="30"/>
      <c r="K111" s="272" t="s">
        <v>196</v>
      </c>
      <c r="L111" s="266"/>
    </row>
    <row r="112" spans="1:12" s="47" customFormat="1" ht="26.25" customHeight="1" x14ac:dyDescent="0.2">
      <c r="A112" s="269" t="s">
        <v>197</v>
      </c>
      <c r="B112" s="270" t="s">
        <v>198</v>
      </c>
      <c r="C112" s="270"/>
      <c r="D112" s="270"/>
      <c r="E112" s="270"/>
      <c r="F112" s="270"/>
      <c r="G112" s="270"/>
      <c r="H112" s="271"/>
      <c r="I112" s="30"/>
      <c r="K112" s="272" t="s">
        <v>199</v>
      </c>
      <c r="L112" s="266"/>
    </row>
    <row r="113" spans="1:12" s="47" customFormat="1" ht="26.25" customHeight="1" x14ac:dyDescent="0.2">
      <c r="A113" s="269" t="s">
        <v>200</v>
      </c>
      <c r="B113" s="270" t="s">
        <v>201</v>
      </c>
      <c r="C113" s="270"/>
      <c r="D113" s="270"/>
      <c r="E113" s="270"/>
      <c r="F113" s="270"/>
      <c r="G113" s="270"/>
      <c r="H113" s="271"/>
      <c r="I113" s="30"/>
      <c r="K113" s="272" t="s">
        <v>202</v>
      </c>
      <c r="L113" s="266"/>
    </row>
    <row r="114" spans="1:12" s="47" customFormat="1" ht="15" customHeight="1" x14ac:dyDescent="0.2">
      <c r="A114" s="269" t="s">
        <v>203</v>
      </c>
      <c r="B114" s="270" t="s">
        <v>204</v>
      </c>
      <c r="C114" s="270"/>
      <c r="D114" s="270"/>
      <c r="E114" s="270"/>
      <c r="F114" s="270"/>
      <c r="G114" s="270"/>
      <c r="H114" s="271"/>
      <c r="I114" s="30"/>
      <c r="K114" s="272" t="s">
        <v>205</v>
      </c>
      <c r="L114" s="266"/>
    </row>
    <row r="115" spans="1:12" s="47" customFormat="1" ht="15" customHeight="1" x14ac:dyDescent="0.2">
      <c r="A115" s="269" t="s">
        <v>206</v>
      </c>
      <c r="B115" s="270" t="s">
        <v>207</v>
      </c>
      <c r="C115" s="270"/>
      <c r="D115" s="270"/>
      <c r="E115" s="270"/>
      <c r="F115" s="270"/>
      <c r="G115" s="270"/>
      <c r="H115" s="271"/>
      <c r="I115" s="30"/>
      <c r="K115" s="272" t="s">
        <v>208</v>
      </c>
      <c r="L115" s="266"/>
    </row>
    <row r="116" spans="1:12" s="47" customFormat="1" ht="25.5" customHeight="1" x14ac:dyDescent="0.2">
      <c r="A116" s="273"/>
      <c r="B116" s="274" t="s">
        <v>209</v>
      </c>
      <c r="C116" s="274"/>
      <c r="D116" s="274"/>
      <c r="E116" s="274"/>
      <c r="F116" s="274"/>
      <c r="G116" s="274"/>
      <c r="H116" s="275"/>
      <c r="J116" s="91"/>
    </row>
    <row r="117" spans="1:12" s="47" customFormat="1" ht="15" customHeight="1" thickBot="1" x14ac:dyDescent="0.25">
      <c r="A117" s="276"/>
      <c r="B117" s="277" t="s">
        <v>210</v>
      </c>
      <c r="C117" s="277"/>
      <c r="D117" s="277"/>
      <c r="E117" s="277"/>
      <c r="F117" s="277"/>
      <c r="G117" s="277"/>
      <c r="H117" s="278"/>
      <c r="J117" s="91"/>
    </row>
    <row r="118" spans="1:12" s="47" customFormat="1" ht="15" customHeight="1" thickBot="1" x14ac:dyDescent="0.25">
      <c r="A118" s="279"/>
      <c r="B118" s="280"/>
      <c r="C118" s="280"/>
      <c r="D118" s="280"/>
      <c r="E118" s="280"/>
      <c r="F118" s="280"/>
      <c r="G118" s="280"/>
      <c r="J118" s="91"/>
    </row>
    <row r="119" spans="1:12" s="47" customFormat="1" ht="15" customHeight="1" x14ac:dyDescent="0.25">
      <c r="A119" s="261" t="s">
        <v>187</v>
      </c>
      <c r="B119" s="281"/>
      <c r="C119" s="281"/>
      <c r="D119" s="281"/>
      <c r="E119" s="281"/>
      <c r="F119" s="281"/>
      <c r="G119" s="282" t="s">
        <v>211</v>
      </c>
      <c r="H119" s="283"/>
      <c r="J119" s="91"/>
    </row>
    <row r="120" spans="1:12" ht="15" customHeight="1" x14ac:dyDescent="0.25">
      <c r="A120" s="267" t="s">
        <v>212</v>
      </c>
      <c r="C120" s="197"/>
      <c r="D120" s="197"/>
      <c r="E120" s="197"/>
      <c r="F120" s="284"/>
      <c r="G120" s="285"/>
      <c r="H120" s="114"/>
      <c r="J120" s="91"/>
    </row>
    <row r="121" spans="1:12" ht="15" customHeight="1" x14ac:dyDescent="0.25">
      <c r="A121" s="267" t="s">
        <v>213</v>
      </c>
      <c r="C121" s="197"/>
      <c r="D121" s="197"/>
      <c r="E121" s="197"/>
      <c r="F121" s="284"/>
      <c r="G121" s="285"/>
      <c r="H121" s="114"/>
      <c r="J121" s="91"/>
    </row>
    <row r="122" spans="1:12" ht="15" customHeight="1" x14ac:dyDescent="0.25">
      <c r="A122" s="28"/>
      <c r="B122" s="286" t="s">
        <v>214</v>
      </c>
      <c r="D122" s="286" t="s">
        <v>215</v>
      </c>
      <c r="F122" s="284"/>
      <c r="G122" s="285"/>
      <c r="H122" s="114"/>
      <c r="J122" s="91"/>
    </row>
    <row r="123" spans="1:12" ht="15" customHeight="1" x14ac:dyDescent="0.25">
      <c r="A123" s="28"/>
      <c r="B123" s="286" t="s">
        <v>216</v>
      </c>
      <c r="D123" s="286" t="s">
        <v>217</v>
      </c>
      <c r="F123" s="284"/>
      <c r="G123" s="285"/>
      <c r="H123" s="114"/>
      <c r="J123" s="91"/>
    </row>
    <row r="124" spans="1:12" ht="15" customHeight="1" x14ac:dyDescent="0.25">
      <c r="A124" s="28"/>
      <c r="B124" s="286" t="s">
        <v>218</v>
      </c>
      <c r="D124" s="286" t="s">
        <v>219</v>
      </c>
      <c r="F124" s="284"/>
      <c r="G124" s="285"/>
      <c r="H124" s="114"/>
      <c r="J124" s="91"/>
    </row>
    <row r="125" spans="1:12" ht="15" customHeight="1" x14ac:dyDescent="0.25">
      <c r="A125" s="28"/>
      <c r="B125" s="287" t="s">
        <v>220</v>
      </c>
      <c r="D125" s="286" t="s">
        <v>221</v>
      </c>
      <c r="F125" s="284"/>
      <c r="G125" s="285"/>
      <c r="H125" s="114"/>
      <c r="J125" s="91"/>
    </row>
    <row r="126" spans="1:12" ht="15" customHeight="1" x14ac:dyDescent="0.25">
      <c r="A126" s="28"/>
      <c r="B126" s="286" t="s">
        <v>222</v>
      </c>
      <c r="D126" s="286" t="s">
        <v>223</v>
      </c>
      <c r="F126" s="284"/>
      <c r="G126" s="285"/>
      <c r="H126" s="114"/>
      <c r="J126" s="91"/>
    </row>
    <row r="127" spans="1:12" ht="15" customHeight="1" x14ac:dyDescent="0.25">
      <c r="A127" s="28"/>
      <c r="B127" s="286" t="s">
        <v>224</v>
      </c>
      <c r="D127" s="286" t="s">
        <v>225</v>
      </c>
      <c r="F127" s="284"/>
      <c r="G127" s="285"/>
      <c r="H127" s="114"/>
    </row>
    <row r="128" spans="1:12" ht="15" customHeight="1" x14ac:dyDescent="0.25">
      <c r="A128" s="28"/>
      <c r="B128" s="287" t="s">
        <v>226</v>
      </c>
      <c r="D128" s="286" t="s">
        <v>227</v>
      </c>
      <c r="F128" s="284"/>
      <c r="G128" s="285"/>
      <c r="H128" s="114"/>
    </row>
    <row r="129" spans="1:8" ht="15" customHeight="1" thickBot="1" x14ac:dyDescent="0.3">
      <c r="A129" s="288"/>
      <c r="B129" s="289" t="s">
        <v>228</v>
      </c>
      <c r="C129" s="255"/>
      <c r="D129" s="289" t="s">
        <v>229</v>
      </c>
      <c r="E129" s="255"/>
      <c r="F129" s="255"/>
      <c r="G129" s="255"/>
      <c r="H129" s="290"/>
    </row>
    <row r="130" spans="1:8" ht="15" customHeight="1" thickBot="1" x14ac:dyDescent="0.3"/>
    <row r="131" spans="1:8" ht="15" customHeight="1" x14ac:dyDescent="0.25">
      <c r="B131" s="291" t="s">
        <v>230</v>
      </c>
      <c r="C131" s="292"/>
      <c r="D131" s="293"/>
      <c r="E131" s="294" t="s">
        <v>231</v>
      </c>
      <c r="F131" s="295"/>
      <c r="G131" s="294" t="s">
        <v>232</v>
      </c>
      <c r="H131" s="296"/>
    </row>
    <row r="132" spans="1:8" ht="15" customHeight="1" x14ac:dyDescent="0.25">
      <c r="B132" s="297" t="s">
        <v>233</v>
      </c>
      <c r="C132" s="214"/>
      <c r="D132" s="236"/>
      <c r="E132" s="298" t="s">
        <v>234</v>
      </c>
      <c r="G132" s="298" t="s">
        <v>235</v>
      </c>
      <c r="H132" s="114"/>
    </row>
    <row r="133" spans="1:8" ht="15" customHeight="1" x14ac:dyDescent="0.25">
      <c r="B133" s="297" t="s">
        <v>236</v>
      </c>
      <c r="C133" s="214"/>
      <c r="D133" s="236"/>
      <c r="E133" s="298" t="s">
        <v>237</v>
      </c>
      <c r="G133" s="298" t="s">
        <v>238</v>
      </c>
      <c r="H133" s="114"/>
    </row>
    <row r="134" spans="1:8" ht="15" customHeight="1" x14ac:dyDescent="0.25">
      <c r="B134" s="297" t="s">
        <v>128</v>
      </c>
      <c r="C134" s="214"/>
      <c r="D134" s="236"/>
      <c r="E134" s="298" t="s">
        <v>239</v>
      </c>
      <c r="H134" s="114"/>
    </row>
    <row r="135" spans="1:8" ht="15" customHeight="1" x14ac:dyDescent="0.25">
      <c r="B135" s="297" t="s">
        <v>20</v>
      </c>
      <c r="C135" s="214"/>
      <c r="D135" s="236"/>
      <c r="E135" s="298" t="s">
        <v>240</v>
      </c>
      <c r="H135" s="114"/>
    </row>
    <row r="136" spans="1:8" ht="15" customHeight="1" x14ac:dyDescent="0.25">
      <c r="B136" s="297" t="s">
        <v>241</v>
      </c>
      <c r="C136" s="214"/>
      <c r="D136" s="236"/>
      <c r="H136" s="114"/>
    </row>
    <row r="137" spans="1:8" ht="15" customHeight="1" x14ac:dyDescent="0.25">
      <c r="B137" s="297" t="s">
        <v>242</v>
      </c>
      <c r="C137" s="214"/>
      <c r="D137" s="236"/>
      <c r="H137" s="114"/>
    </row>
    <row r="138" spans="1:8" ht="15" customHeight="1" x14ac:dyDescent="0.25">
      <c r="B138" s="297" t="s">
        <v>243</v>
      </c>
      <c r="C138" s="214"/>
      <c r="D138" s="299">
        <f>SUM(C132:C138)</f>
        <v>0</v>
      </c>
      <c r="H138" s="114"/>
    </row>
    <row r="139" spans="1:8" ht="15" customHeight="1" x14ac:dyDescent="0.25">
      <c r="B139" s="300" t="s">
        <v>244</v>
      </c>
      <c r="C139" s="214"/>
      <c r="D139" s="197"/>
      <c r="E139" s="301"/>
      <c r="H139" s="114"/>
    </row>
    <row r="140" spans="1:8" ht="15" customHeight="1" x14ac:dyDescent="0.25">
      <c r="B140" s="297" t="s">
        <v>245</v>
      </c>
      <c r="C140" s="302"/>
      <c r="D140" s="197"/>
      <c r="H140" s="114"/>
    </row>
    <row r="141" spans="1:8" ht="15" customHeight="1" x14ac:dyDescent="0.25">
      <c r="B141" s="297" t="s">
        <v>246</v>
      </c>
      <c r="C141" s="302"/>
      <c r="D141" s="197"/>
      <c r="H141" s="114"/>
    </row>
    <row r="142" spans="1:8" ht="15" customHeight="1" x14ac:dyDescent="0.25">
      <c r="B142" s="297" t="s">
        <v>247</v>
      </c>
      <c r="C142" s="302"/>
      <c r="D142" s="197">
        <f>SUM(C140:C142)</f>
        <v>0</v>
      </c>
      <c r="H142" s="114"/>
    </row>
    <row r="143" spans="1:8" ht="15" customHeight="1" thickBot="1" x14ac:dyDescent="0.3">
      <c r="B143" s="303" t="s">
        <v>248</v>
      </c>
      <c r="C143" s="304"/>
      <c r="D143" s="305"/>
      <c r="E143" s="255"/>
      <c r="F143" s="255"/>
      <c r="G143" s="255"/>
      <c r="H143" s="290"/>
    </row>
    <row r="144" spans="1:8" ht="15" customHeight="1" x14ac:dyDescent="0.25">
      <c r="B144" s="197"/>
      <c r="D144" s="306">
        <f>D138+D142+D143</f>
        <v>0</v>
      </c>
    </row>
  </sheetData>
  <mergeCells count="27">
    <mergeCell ref="B116:H116"/>
    <mergeCell ref="B117:G117"/>
    <mergeCell ref="G119:H119"/>
    <mergeCell ref="B110:H110"/>
    <mergeCell ref="B111:H111"/>
    <mergeCell ref="B112:H112"/>
    <mergeCell ref="B113:H113"/>
    <mergeCell ref="B114:H114"/>
    <mergeCell ref="B115:H115"/>
    <mergeCell ref="F59:H59"/>
    <mergeCell ref="K59:L59"/>
    <mergeCell ref="F60:G60"/>
    <mergeCell ref="F61:G61"/>
    <mergeCell ref="K64:L64"/>
    <mergeCell ref="G107:H107"/>
    <mergeCell ref="C46:D46"/>
    <mergeCell ref="C47:D47"/>
    <mergeCell ref="C48:D48"/>
    <mergeCell ref="A51:I51"/>
    <mergeCell ref="A52:B52"/>
    <mergeCell ref="F52:I52"/>
    <mergeCell ref="A1:C1"/>
    <mergeCell ref="D1:H1"/>
    <mergeCell ref="J1:L1"/>
    <mergeCell ref="A2:C2"/>
    <mergeCell ref="F2:G2"/>
    <mergeCell ref="K15:N15"/>
  </mergeCells>
  <conditionalFormatting sqref="F35">
    <cfRule type="expression" dxfId="0" priority="1" stopIfTrue="1">
      <formula>"""$E$55=0"""</formula>
    </cfRule>
  </conditionalFormatting>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6_SBSE</vt:lpstr>
      <vt:lpstr>'6_SBSE'!Print_Area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Tax Doctor</dc:creator>
  <cp:lastModifiedBy>Tax Doctor</cp:lastModifiedBy>
  <dcterms:created xsi:type="dcterms:W3CDTF">2021-11-25T16:20:17Z</dcterms:created>
  <dcterms:modified xsi:type="dcterms:W3CDTF">2021-11-25T16:21:07Z</dcterms:modified>
</cp:coreProperties>
</file>