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x Doctor\Desktop\"/>
    </mc:Choice>
  </mc:AlternateContent>
  <xr:revisionPtr revIDLastSave="0" documentId="13_ncr:1_{BCF3010C-27D7-435D-9B84-9B1CB4FC994C}" xr6:coauthVersionLast="47" xr6:coauthVersionMax="47" xr10:uidLastSave="{00000000-0000-0000-0000-000000000000}"/>
  <bookViews>
    <workbookView xWindow="-108" yWindow="-108" windowWidth="23256" windowHeight="12720" xr2:uid="{57EE4447-070D-4E66-B7EC-3966E447C8DE}"/>
  </bookViews>
  <sheets>
    <sheet name="Cals-1" sheetId="1" r:id="rId1"/>
  </sheets>
  <externalReferences>
    <externalReference r:id="rId2"/>
  </externalReferences>
  <definedNames>
    <definedName name="newbasicPB4">[1]Sheet1!$T$4:$T$37</definedName>
    <definedName name="oldbasicPB4">[1]Sheet1!$S$4:$S$37</definedName>
    <definedName name="_xlnm.Print_Area" localSheetId="0">'Cals-1'!$A$1:$I$60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1" i="1" l="1"/>
  <c r="E110" i="1"/>
  <c r="E111" i="1"/>
  <c r="H21" i="1" s="1"/>
  <c r="I21" i="1" s="1"/>
  <c r="E98" i="1"/>
  <c r="E90" i="1"/>
  <c r="C78" i="1"/>
  <c r="E69" i="1"/>
  <c r="E97" i="1" s="1"/>
  <c r="H58" i="1"/>
  <c r="I58" i="1" s="1"/>
  <c r="H45" i="1"/>
  <c r="I45" i="1" s="1"/>
  <c r="B44" i="1"/>
  <c r="L43" i="1"/>
  <c r="H41" i="1"/>
  <c r="I29" i="1"/>
  <c r="H29" i="1"/>
  <c r="G26" i="1"/>
  <c r="G16" i="1"/>
  <c r="G17" i="1" s="1"/>
  <c r="G9" i="1"/>
  <c r="G11" i="1" s="1"/>
  <c r="G5" i="1"/>
  <c r="G12" i="1" l="1"/>
  <c r="H12" i="1"/>
  <c r="F18" i="1"/>
  <c r="G19" i="1" s="1"/>
  <c r="H19" i="1" s="1"/>
  <c r="I19" i="1" s="1"/>
  <c r="E82" i="1"/>
  <c r="I12" i="1"/>
  <c r="I32" i="1" l="1"/>
  <c r="I42" i="1" s="1"/>
  <c r="H32" i="1"/>
  <c r="H42" i="1" s="1"/>
  <c r="H46" i="1" l="1"/>
  <c r="E44" i="1"/>
  <c r="H44" i="1" s="1"/>
  <c r="I46" i="1"/>
  <c r="I44" i="1"/>
  <c r="I47" i="1" l="1"/>
  <c r="I48" i="1" s="1"/>
  <c r="H47" i="1"/>
  <c r="H48" i="1" s="1"/>
  <c r="H49" i="1" l="1"/>
  <c r="H50" i="1" s="1"/>
  <c r="I49" i="1"/>
  <c r="I50" i="1" s="1"/>
  <c r="I53" i="1" s="1"/>
  <c r="I59" i="1" s="1"/>
  <c r="E68" i="1" l="1"/>
  <c r="E81" i="1" l="1"/>
  <c r="E70" i="1"/>
  <c r="E76" i="1" l="1"/>
  <c r="F76" i="1" s="1"/>
  <c r="G76" i="1" s="1"/>
  <c r="H76" i="1" s="1"/>
  <c r="E71" i="1"/>
  <c r="E83" i="1"/>
  <c r="E96" i="1"/>
  <c r="E102" i="1" s="1"/>
  <c r="F102" i="1" s="1"/>
  <c r="E87" i="1" l="1"/>
  <c r="E85" i="1"/>
  <c r="H101" i="1"/>
  <c r="H100" i="1"/>
  <c r="H103" i="1" s="1"/>
  <c r="E75" i="1"/>
  <c r="F75" i="1" s="1"/>
  <c r="G75" i="1" s="1"/>
  <c r="H75" i="1" s="1"/>
  <c r="E73" i="1"/>
  <c r="F73" i="1" s="1"/>
  <c r="G73" i="1" s="1"/>
  <c r="H73" i="1" s="1"/>
  <c r="H78" i="1" s="1"/>
  <c r="E74" i="1"/>
  <c r="F74" i="1" s="1"/>
  <c r="G74" i="1" s="1"/>
  <c r="H74" i="1" s="1"/>
  <c r="F87" i="1" l="1"/>
  <c r="E91" i="1"/>
  <c r="F91" i="1" s="1"/>
  <c r="H90" i="1" l="1"/>
  <c r="H86" i="1"/>
  <c r="H85" i="1"/>
  <c r="H87" i="1"/>
  <c r="H88" i="1"/>
  <c r="H84" i="1"/>
  <c r="H89" i="1"/>
  <c r="H83" i="1"/>
  <c r="H91" i="1"/>
  <c r="H82" i="1"/>
  <c r="H81" i="1"/>
  <c r="H93" i="1" s="1"/>
  <c r="H66" i="1" s="1"/>
  <c r="H51" i="1" s="1"/>
  <c r="H53" i="1" s="1"/>
  <c r="H59" i="1" s="1"/>
  <c r="B5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RATHORE</author>
    <author>rathore's</author>
  </authors>
  <commentList>
    <comment ref="G3" authorId="0" shapeId="0" xr:uid="{9DA0620D-1C37-46A2-A5CD-83ECB963B9CE}">
      <text>
        <r>
          <rPr>
            <b/>
            <sz val="8"/>
            <color indexed="81"/>
            <rFont val="Tahoma"/>
            <family val="2"/>
          </rPr>
          <t>RATHORE: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7" authorId="0" shapeId="0" xr:uid="{DD8CD1C8-85F6-4E4E-9E90-FCAADF8909AE}">
      <text>
        <r>
          <rPr>
            <b/>
            <sz val="8"/>
            <color indexed="81"/>
            <rFont val="Tahoma"/>
            <family val="2"/>
          </rPr>
          <t>RATHORE:</t>
        </r>
        <r>
          <rPr>
            <sz val="8"/>
            <color indexed="81"/>
            <rFont val="Tahoma"/>
            <family val="2"/>
          </rPr>
          <t xml:space="preserve">
MAX AMT.RS. 20000</t>
        </r>
      </text>
    </comment>
    <comment ref="C39" authorId="0" shapeId="0" xr:uid="{7DACCDB8-0570-4962-8C41-06F997376D55}">
      <text>
        <r>
          <rPr>
            <b/>
            <sz val="8"/>
            <color indexed="81"/>
            <rFont val="Tahoma"/>
            <family val="2"/>
          </rPr>
          <t>RATHORE:</t>
        </r>
        <r>
          <rPr>
            <sz val="8"/>
            <color indexed="81"/>
            <rFont val="Tahoma"/>
            <family val="2"/>
          </rPr>
          <t xml:space="preserve">
MAX AMT.RS. 20000</t>
        </r>
      </text>
    </comment>
    <comment ref="C40" authorId="0" shapeId="0" xr:uid="{0D26A457-48D3-47B8-BA36-93612A064757}">
      <text>
        <r>
          <rPr>
            <b/>
            <sz val="8"/>
            <color indexed="81"/>
            <rFont val="Tahoma"/>
            <family val="2"/>
          </rPr>
          <t>RATHORE: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1" authorId="0" shapeId="0" xr:uid="{CCC97DF1-5C74-4893-B9D7-5195ACC24AEA}">
      <text>
        <r>
          <rPr>
            <b/>
            <sz val="8"/>
            <color indexed="81"/>
            <rFont val="Tahoma"/>
            <family val="2"/>
          </rPr>
          <t>RATHORE: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1" authorId="0" shapeId="0" xr:uid="{D94BD4BB-0077-4574-B581-E29602279E7F}">
      <text>
        <r>
          <rPr>
            <b/>
            <sz val="8"/>
            <color indexed="81"/>
            <rFont val="Tahoma"/>
            <family val="2"/>
          </rPr>
          <t>RATHORE: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4" authorId="0" shapeId="0" xr:uid="{DB531DE0-FF80-46C4-806F-AA61B08EE271}">
      <text>
        <r>
          <rPr>
            <b/>
            <sz val="8"/>
            <color indexed="81"/>
            <rFont val="Tahoma"/>
            <family val="2"/>
          </rPr>
          <t>RATHORE: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8" authorId="1" shapeId="0" xr:uid="{37781BB6-2291-476D-B14C-54113038B402}">
      <text>
        <r>
          <rPr>
            <b/>
            <sz val="8"/>
            <color indexed="81"/>
            <rFont val="Tahoma"/>
            <family val="2"/>
          </rPr>
          <t>rathore's: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59" authorId="0" shapeId="0" xr:uid="{CCF61A63-25F9-4AD1-A4D2-B35ED4BD4439}">
      <text>
        <r>
          <rPr>
            <b/>
            <sz val="8"/>
            <color indexed="81"/>
            <rFont val="Tahoma"/>
            <family val="2"/>
          </rPr>
          <t>RATHORE: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<sst xmlns="http://schemas.openxmlformats.org/spreadsheetml/2006/main" count="120" uniqueCount="112">
  <si>
    <t>EDFOLIO</t>
  </si>
  <si>
    <t xml:space="preserve">Course:   E-Filing of Tax Returns </t>
  </si>
  <si>
    <t>Fin. Yr.  2020-21 (Assessment Yr.  2021-22)</t>
  </si>
  <si>
    <t>Old Tax Regime</t>
  </si>
  <si>
    <t>New Tax  Regime</t>
  </si>
  <si>
    <t xml:space="preserve">Computation of Income and Tax Paid </t>
  </si>
  <si>
    <r>
      <t xml:space="preserve">SALARIES </t>
    </r>
    <r>
      <rPr>
        <sz val="10"/>
        <color theme="1"/>
        <rFont val="Arial"/>
        <family val="2"/>
      </rPr>
      <t>U/S 15-17</t>
    </r>
  </si>
  <si>
    <t>Salary and Allowances</t>
  </si>
  <si>
    <t xml:space="preserve">Value of Perks </t>
  </si>
  <si>
    <t>Profit in Lieu of Salary</t>
  </si>
  <si>
    <t xml:space="preserve">Gross Salary </t>
  </si>
  <si>
    <t xml:space="preserve">Less Exempt Allowances (Sec 10) </t>
  </si>
  <si>
    <t xml:space="preserve">Net Salary </t>
  </si>
  <si>
    <t>Less Standard  Deduction</t>
  </si>
  <si>
    <r>
      <t xml:space="preserve">HOUSE PROPERTY </t>
    </r>
    <r>
      <rPr>
        <sz val="10"/>
        <color theme="1"/>
        <rFont val="Arial"/>
        <family val="2"/>
      </rPr>
      <t>U/S 22-27</t>
    </r>
  </si>
  <si>
    <t xml:space="preserve">SOP </t>
  </si>
  <si>
    <t xml:space="preserve">Madipur J.J. Colony </t>
  </si>
  <si>
    <t xml:space="preserve">Let-out </t>
  </si>
  <si>
    <t xml:space="preserve">Rent Received (Greater Kailash) </t>
  </si>
  <si>
    <t>Less Municipal Tax Paid</t>
  </si>
  <si>
    <t>LESS: Deduction; Std Deduction @ 30%</t>
  </si>
  <si>
    <t xml:space="preserve">Interest on Housing Loan </t>
  </si>
  <si>
    <r>
      <t xml:space="preserve">INCOME FROM BUSINESS OR PROFESSION </t>
    </r>
    <r>
      <rPr>
        <sz val="10"/>
        <color theme="1"/>
        <rFont val="Arial"/>
        <family val="2"/>
      </rPr>
      <t>U/S 28-44</t>
    </r>
  </si>
  <si>
    <t>Business Profit after adjustments</t>
  </si>
  <si>
    <r>
      <t xml:space="preserve">CAPITAL GAINS </t>
    </r>
    <r>
      <rPr>
        <sz val="10"/>
        <color theme="1"/>
        <rFont val="Arial"/>
        <family val="2"/>
      </rPr>
      <t>U/S 45 - 55</t>
    </r>
  </si>
  <si>
    <t>Short Term Capital Gain</t>
  </si>
  <si>
    <t>Long Term Capital Gain</t>
  </si>
  <si>
    <r>
      <t xml:space="preserve">OTHER SOURCES </t>
    </r>
    <r>
      <rPr>
        <sz val="10"/>
        <color theme="1"/>
        <rFont val="Arial"/>
        <family val="2"/>
      </rPr>
      <t>U/S 56-59</t>
    </r>
  </si>
  <si>
    <t>SAVING BANKs INTEREST - HDFC + SBI</t>
  </si>
  <si>
    <t xml:space="preserve">FIXED DEPOSIT INTEREST - HDFC Bank </t>
  </si>
  <si>
    <t>DIVIDEND</t>
  </si>
  <si>
    <t>Exempted Income</t>
  </si>
  <si>
    <t>INTEREST  ON PUBLIC PROV FUND</t>
  </si>
  <si>
    <t>GROSS TOTAL INCOME</t>
  </si>
  <si>
    <t xml:space="preserve">LESS: DEDUCTIONS UNDER CHAPTER VI-A </t>
  </si>
  <si>
    <t xml:space="preserve">Sec  80C </t>
  </si>
  <si>
    <t>HBA (360000 - 250000)</t>
  </si>
  <si>
    <t xml:space="preserve">Sec  80CCD (1) </t>
  </si>
  <si>
    <t xml:space="preserve">NPS (100000 - 50000) </t>
  </si>
  <si>
    <t xml:space="preserve">Sec  80CCD (1B) </t>
  </si>
  <si>
    <r>
      <t xml:space="preserve">Sec  80CCD(1B) </t>
    </r>
    <r>
      <rPr>
        <sz val="9"/>
        <color theme="1"/>
        <rFont val="Arial"/>
        <family val="2"/>
      </rPr>
      <t>New Pension Scheme  Max 50000</t>
    </r>
  </si>
  <si>
    <r>
      <t xml:space="preserve">Sec  80CCD(2) </t>
    </r>
    <r>
      <rPr>
        <sz val="9"/>
        <color theme="1"/>
        <rFont val="Arial"/>
        <family val="2"/>
      </rPr>
      <t xml:space="preserve"> Employer's Contribution to NPS</t>
    </r>
  </si>
  <si>
    <t>Sec 80D</t>
  </si>
  <si>
    <t>Sec 80TTA</t>
  </si>
  <si>
    <t>Old Regime</t>
  </si>
  <si>
    <t>New Regime</t>
  </si>
  <si>
    <t xml:space="preserve">Exemption Non-Sr </t>
  </si>
  <si>
    <t xml:space="preserve">TOTAL  INCOME </t>
  </si>
  <si>
    <t>Rounding Off u/s 288A</t>
  </si>
  <si>
    <t>Exemption Senior</t>
  </si>
  <si>
    <t xml:space="preserve">TAX ON TOTAL INCOME </t>
  </si>
  <si>
    <t>upto 500,000</t>
  </si>
  <si>
    <t>NORMAL INCOME</t>
  </si>
  <si>
    <t>Slabs</t>
  </si>
  <si>
    <t>500,000  to   750,000</t>
  </si>
  <si>
    <t>SPECIAL INCOME</t>
  </si>
  <si>
    <t>750,000 to 1000,000</t>
  </si>
  <si>
    <r>
      <t xml:space="preserve">LESS : REBATE  u/s 87A </t>
    </r>
    <r>
      <rPr>
        <sz val="8"/>
        <color theme="1"/>
        <rFont val="Arial Narrow"/>
        <family val="2"/>
      </rPr>
      <t>(Max Rs. 12500, if Total Income not exceeding  Rs. 500,000)</t>
    </r>
  </si>
  <si>
    <t>1000,000 to 1250,000</t>
  </si>
  <si>
    <t>ADD : SURCHARGE  (10%, 15%, 25%, 37%)</t>
  </si>
  <si>
    <t>1250,000 to 1500,000</t>
  </si>
  <si>
    <t>ADD : HEALTH &amp; EDUCATION CESS (4 % ON TAX PAYABLE)</t>
  </si>
  <si>
    <t>Above 1500,000</t>
  </si>
  <si>
    <r>
      <t>TOTAL TAX PAYABLE</t>
    </r>
    <r>
      <rPr>
        <sz val="10"/>
        <color theme="1"/>
        <rFont val="Arial"/>
        <family val="2"/>
      </rPr>
      <t xml:space="preserve"> (including Surcharge &amp; Cesses) </t>
    </r>
  </si>
  <si>
    <t xml:space="preserve">ADD : INTEREST  PAYABLE U/S  234A, 234B, 234C </t>
  </si>
  <si>
    <t>ADD : LATE FEES U/S 234F</t>
  </si>
  <si>
    <t>(01-01-2022 TO 31-03-2022)</t>
  </si>
  <si>
    <t>TOTAL TAX AND INTEREST PAYABLE</t>
  </si>
  <si>
    <t xml:space="preserve">TAX PAID U/S 199 : </t>
  </si>
  <si>
    <t>ADVANCE TAX PAID</t>
  </si>
  <si>
    <t>T. D. S. by HDFC Bank U/S 194A</t>
  </si>
  <si>
    <t>T. D. S. by Tenant  U/S 194-I</t>
  </si>
  <si>
    <t>SELF-ASSESSMENT TAX PAID U/S 140A</t>
  </si>
  <si>
    <t>Rounding Off u/s 288B</t>
  </si>
  <si>
    <t xml:space="preserve">Not Liable to Tax Audit </t>
  </si>
  <si>
    <t>Normally Due Date of Filing : 31-07-2021</t>
  </si>
  <si>
    <t>Extended Due Date of Filing ITR: 31-12-2021</t>
  </si>
  <si>
    <t>Date for Calculation of Interest u/s 234A :  31-07-2021, If amount exceeds Rs. 100,000</t>
  </si>
  <si>
    <t>Calculation  of Interest under Sections 234A, 234B &amp; 234C</t>
  </si>
  <si>
    <t>Total Interest</t>
  </si>
  <si>
    <t>Section 234C: In case of Non-Sr Citizen: If  Amount Exceeds Rs. 10000</t>
  </si>
  <si>
    <t>Total Tax, Surcharge &amp; Cess</t>
  </si>
  <si>
    <t xml:space="preserve">Less TDS by the Deductors </t>
  </si>
  <si>
    <t xml:space="preserve">Liability for Advance tax </t>
  </si>
  <si>
    <t>Deposit Date</t>
  </si>
  <si>
    <t xml:space="preserve">Tax Amount </t>
  </si>
  <si>
    <t>Last Date</t>
  </si>
  <si>
    <t xml:space="preserve">Amount </t>
  </si>
  <si>
    <t>Round Down by 100</t>
  </si>
  <si>
    <t xml:space="preserve">Shortfall </t>
  </si>
  <si>
    <t>Interest</t>
  </si>
  <si>
    <t>ITR can not be filed after 31-03-2022</t>
  </si>
  <si>
    <t>Section 234B:  If  Amount Exceeds Rs. 10000 (Less than 90 %.....)</t>
  </si>
  <si>
    <t xml:space="preserve"> Tax Liability after TDS</t>
  </si>
  <si>
    <t>Advance Tax   till 31-03-2021</t>
  </si>
  <si>
    <t xml:space="preserve">Tax Liability after Advance Tax </t>
  </si>
  <si>
    <t xml:space="preserve">Self-Assessment Tax Paid </t>
  </si>
  <si>
    <t xml:space="preserve">Adjusted for  Intt u/s 234B &amp; 234C  </t>
  </si>
  <si>
    <t xml:space="preserve">Net Amt Paid </t>
  </si>
  <si>
    <t>Tax Liability after Self-Assessment Tax</t>
  </si>
  <si>
    <t>Section 234A:  If Amount Exceeds Rs. 100000</t>
  </si>
  <si>
    <t>Less TDS by the Employer, Bank</t>
  </si>
  <si>
    <t>Less Advance tax paid by 31-03-2021</t>
  </si>
  <si>
    <t xml:space="preserve">Add Interest u/s 234C </t>
  </si>
  <si>
    <t xml:space="preserve">Add Interest u/s 234B </t>
  </si>
  <si>
    <t xml:space="preserve">Less Self-Assessment Paid </t>
  </si>
  <si>
    <t xml:space="preserve">Schedule BP </t>
  </si>
  <si>
    <t>A 1 Profit from P &amp; L A/c</t>
  </si>
  <si>
    <t>11 Dep Debited to P &amp; L A/c</t>
  </si>
  <si>
    <t xml:space="preserve">12 Dep Allowable </t>
  </si>
  <si>
    <t>10 % on Rs. 10,00,000 for more than 180 days</t>
  </si>
  <si>
    <t>35 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</si>
</sst>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Lucida Console"/>
      <family val="3"/>
    </font>
    <font>
      <b/>
      <i/>
      <sz val="9"/>
      <color theme="9" tint="-0.499984740745262"/>
      <name val="Arial"/>
      <family val="2"/>
    </font>
    <font>
      <b/>
      <sz val="8"/>
      <color theme="1"/>
      <name val="High Tower Text"/>
      <family val="1"/>
    </font>
    <font>
      <sz val="11"/>
      <color theme="1"/>
      <name val="Arial"/>
      <family val="2"/>
    </font>
    <font>
      <b/>
      <sz val="9"/>
      <color theme="1"/>
      <name val="Lucida Console"/>
      <family val="3"/>
    </font>
    <font>
      <sz val="10"/>
      <color theme="1"/>
      <name val="Arial Narrow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8"/>
      <color theme="0" tint="-4.9989318521683403E-2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u/>
      <sz val="10"/>
      <color theme="1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sz val="9"/>
      <color theme="9" tint="-0.499984740745262"/>
      <name val="Arial"/>
      <family val="2"/>
    </font>
    <font>
      <b/>
      <sz val="9"/>
      <color rgb="FF0A0AAE"/>
      <name val="Arial"/>
      <family val="2"/>
    </font>
    <font>
      <sz val="9"/>
      <name val="Arial"/>
      <family val="2"/>
    </font>
    <font>
      <sz val="8"/>
      <color theme="1"/>
      <name val="Arial Narrow"/>
      <family val="2"/>
    </font>
    <font>
      <b/>
      <sz val="11"/>
      <color theme="1"/>
      <name val="Arial"/>
      <family val="2"/>
    </font>
    <font>
      <sz val="10"/>
      <color theme="9" tint="-0.499984740745262"/>
      <name val="Arial"/>
      <family val="2"/>
    </font>
    <font>
      <i/>
      <u/>
      <sz val="10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theme="8" tint="0.79998168889431442"/>
      <name val="Arial"/>
      <family val="2"/>
    </font>
    <font>
      <i/>
      <sz val="8"/>
      <color theme="1"/>
      <name val="Arial"/>
      <family val="2"/>
    </font>
    <font>
      <sz val="10"/>
      <color rgb="FF0A0AAE"/>
      <name val="Arial"/>
      <family val="2"/>
    </font>
    <font>
      <sz val="10"/>
      <color rgb="FFC00000"/>
      <name val="Arial"/>
      <family val="2"/>
    </font>
    <font>
      <sz val="10"/>
      <color theme="0" tint="-4.9989318521683403E-2"/>
      <name val="Arial"/>
      <family val="2"/>
    </font>
    <font>
      <b/>
      <sz val="10"/>
      <color theme="0" tint="-4.9989318521683403E-2"/>
      <name val="Arial"/>
      <family val="2"/>
    </font>
    <font>
      <sz val="8"/>
      <color rgb="FFC00000"/>
      <name val="Arial"/>
      <family val="2"/>
    </font>
    <font>
      <sz val="9"/>
      <color theme="9" tint="-0.249977111117893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rgb="FF0C08B8"/>
      <name val="Arial"/>
      <family val="2"/>
    </font>
    <font>
      <b/>
      <sz val="9"/>
      <color indexed="12"/>
      <name val="Arial"/>
      <family val="2"/>
    </font>
    <font>
      <b/>
      <sz val="9"/>
      <name val="Arial"/>
      <family val="2"/>
    </font>
    <font>
      <b/>
      <sz val="9"/>
      <color rgb="FF0000FF"/>
      <name val="Arial"/>
      <family val="2"/>
    </font>
    <font>
      <b/>
      <sz val="9"/>
      <color theme="9" tint="-0.249977111117893"/>
      <name val="Arial"/>
      <family val="2"/>
    </font>
    <font>
      <sz val="9"/>
      <color rgb="FF0000FF"/>
      <name val="Arial"/>
      <family val="2"/>
    </font>
    <font>
      <sz val="10"/>
      <color indexed="12"/>
      <name val="Arial"/>
      <family val="2"/>
    </font>
    <font>
      <sz val="9"/>
      <color theme="0"/>
      <name val="Arial"/>
      <family val="2"/>
    </font>
    <font>
      <b/>
      <sz val="8"/>
      <color rgb="FFC00000"/>
      <name val="Arial"/>
      <family val="2"/>
    </font>
    <font>
      <b/>
      <sz val="8"/>
      <color theme="9" tint="-0.249977111117893"/>
      <name val="Arial"/>
      <family val="2"/>
    </font>
    <font>
      <sz val="8"/>
      <color rgb="FF0000FF"/>
      <name val="Arial"/>
      <family val="2"/>
    </font>
    <font>
      <i/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</cellStyleXfs>
  <cellXfs count="184">
    <xf numFmtId="0" fontId="0" fillId="0" borderId="0" xfId="0"/>
    <xf numFmtId="0" fontId="4" fillId="0" borderId="0" xfId="2" applyFont="1"/>
    <xf numFmtId="0" fontId="6" fillId="0" borderId="0" xfId="2" applyFont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8" fillId="0" borderId="0" xfId="2" applyFont="1"/>
    <xf numFmtId="0" fontId="4" fillId="0" borderId="0" xfId="2" applyFont="1" applyAlignment="1">
      <alignment horizontal="center"/>
    </xf>
    <xf numFmtId="164" fontId="9" fillId="0" borderId="7" xfId="2" applyNumberFormat="1" applyFont="1" applyBorder="1" applyAlignment="1">
      <alignment horizontal="center"/>
    </xf>
    <xf numFmtId="1" fontId="10" fillId="0" borderId="5" xfId="2" applyNumberFormat="1" applyFont="1" applyBorder="1" applyAlignment="1">
      <alignment horizontal="center" vertical="center" wrapText="1"/>
    </xf>
    <xf numFmtId="1" fontId="10" fillId="0" borderId="8" xfId="2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11" fillId="0" borderId="2" xfId="2" applyNumberFormat="1" applyFont="1" applyBorder="1" applyAlignment="1">
      <alignment shrinkToFit="1"/>
    </xf>
    <xf numFmtId="0" fontId="12" fillId="0" borderId="3" xfId="2" applyFont="1" applyBorder="1"/>
    <xf numFmtId="0" fontId="4" fillId="0" borderId="3" xfId="2" applyFont="1" applyBorder="1"/>
    <xf numFmtId="0" fontId="13" fillId="0" borderId="0" xfId="2" applyFont="1" applyAlignment="1">
      <alignment horizontal="center" vertical="top"/>
    </xf>
    <xf numFmtId="0" fontId="14" fillId="0" borderId="4" xfId="2" applyFont="1" applyBorder="1" applyAlignment="1">
      <alignment horizontal="center"/>
    </xf>
    <xf numFmtId="1" fontId="12" fillId="0" borderId="9" xfId="2" applyNumberFormat="1" applyFont="1" applyBorder="1"/>
    <xf numFmtId="0" fontId="11" fillId="0" borderId="1" xfId="2" applyFont="1" applyBorder="1" applyAlignment="1">
      <alignment shrinkToFit="1"/>
    </xf>
    <xf numFmtId="0" fontId="11" fillId="0" borderId="0" xfId="2" applyFont="1"/>
    <xf numFmtId="0" fontId="15" fillId="0" borderId="0" xfId="2" applyFont="1" applyAlignment="1">
      <alignment horizontal="left"/>
    </xf>
    <xf numFmtId="1" fontId="4" fillId="3" borderId="0" xfId="2" applyNumberFormat="1" applyFont="1" applyFill="1"/>
    <xf numFmtId="1" fontId="4" fillId="3" borderId="10" xfId="2" applyNumberFormat="1" applyFont="1" applyFill="1" applyBorder="1"/>
    <xf numFmtId="0" fontId="16" fillId="0" borderId="0" xfId="2" applyFont="1"/>
    <xf numFmtId="0" fontId="17" fillId="0" borderId="0" xfId="2" applyFont="1"/>
    <xf numFmtId="1" fontId="4" fillId="0" borderId="11" xfId="2" applyNumberFormat="1" applyFont="1" applyBorder="1"/>
    <xf numFmtId="0" fontId="18" fillId="0" borderId="0" xfId="2" applyFont="1"/>
    <xf numFmtId="0" fontId="19" fillId="0" borderId="0" xfId="2" applyFont="1" applyAlignment="1">
      <alignment horizontal="left"/>
    </xf>
    <xf numFmtId="0" fontId="17" fillId="0" borderId="0" xfId="2" applyFont="1" applyAlignment="1">
      <alignment horizontal="right"/>
    </xf>
    <xf numFmtId="1" fontId="4" fillId="0" borderId="0" xfId="2" applyNumberFormat="1" applyFont="1"/>
    <xf numFmtId="0" fontId="19" fillId="0" borderId="0" xfId="2" applyFont="1"/>
    <xf numFmtId="0" fontId="12" fillId="0" borderId="0" xfId="2" applyFont="1"/>
    <xf numFmtId="0" fontId="20" fillId="0" borderId="0" xfId="2" applyFont="1" applyAlignment="1">
      <alignment horizontal="center"/>
    </xf>
    <xf numFmtId="0" fontId="20" fillId="0" borderId="0" xfId="2" applyFont="1"/>
    <xf numFmtId="0" fontId="4" fillId="4" borderId="0" xfId="2" applyFont="1" applyFill="1"/>
    <xf numFmtId="0" fontId="21" fillId="0" borderId="0" xfId="2" applyFont="1" applyAlignment="1">
      <alignment horizontal="left"/>
    </xf>
    <xf numFmtId="0" fontId="4" fillId="0" borderId="0" xfId="2" applyFont="1" applyAlignment="1">
      <alignment horizontal="left"/>
    </xf>
    <xf numFmtId="0" fontId="4" fillId="4" borderId="12" xfId="2" applyFont="1" applyFill="1" applyBorder="1"/>
    <xf numFmtId="0" fontId="15" fillId="0" borderId="0" xfId="2" applyFont="1"/>
    <xf numFmtId="0" fontId="15" fillId="4" borderId="10" xfId="2" applyFont="1" applyFill="1" applyBorder="1"/>
    <xf numFmtId="0" fontId="4" fillId="0" borderId="10" xfId="2" applyFont="1" applyBorder="1"/>
    <xf numFmtId="0" fontId="22" fillId="0" borderId="0" xfId="2" applyFont="1"/>
    <xf numFmtId="0" fontId="12" fillId="0" borderId="0" xfId="3" applyFont="1"/>
    <xf numFmtId="0" fontId="4" fillId="0" borderId="0" xfId="3" applyFont="1"/>
    <xf numFmtId="0" fontId="15" fillId="0" borderId="0" xfId="3" applyFont="1"/>
    <xf numFmtId="0" fontId="22" fillId="0" borderId="0" xfId="2" applyFont="1" applyAlignment="1">
      <alignment horizontal="center"/>
    </xf>
    <xf numFmtId="1" fontId="4" fillId="4" borderId="0" xfId="2" applyNumberFormat="1" applyFont="1" applyFill="1"/>
    <xf numFmtId="14" fontId="22" fillId="0" borderId="0" xfId="2" applyNumberFormat="1" applyFont="1" applyAlignment="1">
      <alignment horizontal="center"/>
    </xf>
    <xf numFmtId="1" fontId="4" fillId="0" borderId="10" xfId="2" applyNumberFormat="1" applyFont="1" applyBorder="1"/>
    <xf numFmtId="0" fontId="11" fillId="0" borderId="0" xfId="2" applyFont="1" applyAlignment="1">
      <alignment horizontal="left"/>
    </xf>
    <xf numFmtId="1" fontId="12" fillId="0" borderId="0" xfId="2" applyNumberFormat="1" applyFont="1"/>
    <xf numFmtId="1" fontId="23" fillId="0" borderId="13" xfId="2" applyNumberFormat="1" applyFont="1" applyBorder="1"/>
    <xf numFmtId="0" fontId="24" fillId="0" borderId="0" xfId="2" applyFont="1"/>
    <xf numFmtId="0" fontId="25" fillId="0" borderId="0" xfId="2" applyFont="1"/>
    <xf numFmtId="0" fontId="26" fillId="0" borderId="0" xfId="2" applyFont="1"/>
    <xf numFmtId="3" fontId="15" fillId="0" borderId="0" xfId="2" applyNumberFormat="1" applyFont="1" applyAlignment="1">
      <alignment horizontal="left"/>
    </xf>
    <xf numFmtId="1" fontId="18" fillId="0" borderId="0" xfId="2" applyNumberFormat="1" applyFont="1" applyAlignment="1">
      <alignment horizontal="center"/>
    </xf>
    <xf numFmtId="0" fontId="15" fillId="0" borderId="0" xfId="2" applyFont="1" applyAlignment="1">
      <alignment horizontal="center"/>
    </xf>
    <xf numFmtId="0" fontId="4" fillId="4" borderId="10" xfId="2" applyFont="1" applyFill="1" applyBorder="1"/>
    <xf numFmtId="1" fontId="12" fillId="0" borderId="9" xfId="2" applyNumberFormat="1" applyFont="1" applyBorder="1" applyAlignment="1">
      <alignment horizontal="right"/>
    </xf>
    <xf numFmtId="3" fontId="15" fillId="0" borderId="0" xfId="2" applyNumberFormat="1" applyFont="1" applyAlignment="1">
      <alignment horizontal="center"/>
    </xf>
    <xf numFmtId="0" fontId="12" fillId="0" borderId="0" xfId="2" applyFont="1" applyAlignment="1">
      <alignment vertical="center"/>
    </xf>
    <xf numFmtId="1" fontId="22" fillId="0" borderId="0" xfId="2" applyNumberFormat="1" applyFont="1" applyAlignment="1">
      <alignment horizontal="left"/>
    </xf>
    <xf numFmtId="0" fontId="22" fillId="0" borderId="0" xfId="2" applyFont="1" applyAlignment="1">
      <alignment horizontal="left"/>
    </xf>
    <xf numFmtId="0" fontId="11" fillId="0" borderId="0" xfId="2" applyFont="1" applyAlignment="1">
      <alignment horizontal="right"/>
    </xf>
    <xf numFmtId="1" fontId="23" fillId="0" borderId="14" xfId="2" applyNumberFormat="1" applyFont="1" applyBorder="1"/>
    <xf numFmtId="0" fontId="15" fillId="0" borderId="0" xfId="2" applyFont="1" applyAlignment="1">
      <alignment horizontal="center" vertical="center"/>
    </xf>
    <xf numFmtId="3" fontId="15" fillId="0" borderId="0" xfId="2" applyNumberFormat="1" applyFont="1" applyAlignment="1">
      <alignment horizontal="center" vertical="center"/>
    </xf>
    <xf numFmtId="0" fontId="26" fillId="0" borderId="0" xfId="2" applyFont="1" applyAlignment="1">
      <alignment horizontal="right"/>
    </xf>
    <xf numFmtId="0" fontId="26" fillId="0" borderId="0" xfId="2" applyFont="1" applyAlignment="1">
      <alignment horizontal="center"/>
    </xf>
    <xf numFmtId="0" fontId="4" fillId="0" borderId="9" xfId="2" applyFont="1" applyBorder="1"/>
    <xf numFmtId="9" fontId="15" fillId="0" borderId="0" xfId="2" applyNumberFormat="1" applyFont="1" applyAlignment="1">
      <alignment horizontal="center"/>
    </xf>
    <xf numFmtId="1" fontId="19" fillId="0" borderId="0" xfId="2" applyNumberFormat="1" applyFont="1" applyAlignment="1">
      <alignment horizontal="center" shrinkToFit="1"/>
    </xf>
    <xf numFmtId="1" fontId="27" fillId="0" borderId="0" xfId="2" applyNumberFormat="1" applyFont="1" applyAlignment="1">
      <alignment horizontal="right" indent="1"/>
    </xf>
    <xf numFmtId="0" fontId="15" fillId="0" borderId="0" xfId="2" applyFont="1" applyAlignment="1">
      <alignment horizontal="right"/>
    </xf>
    <xf numFmtId="1" fontId="28" fillId="0" borderId="0" xfId="2" applyNumberFormat="1" applyFont="1" applyAlignment="1">
      <alignment horizontal="center"/>
    </xf>
    <xf numFmtId="0" fontId="29" fillId="0" borderId="0" xfId="2" applyFont="1" applyAlignment="1">
      <alignment horizontal="right"/>
    </xf>
    <xf numFmtId="0" fontId="4" fillId="0" borderId="0" xfId="2" applyFont="1" applyAlignment="1">
      <alignment horizontal="right"/>
    </xf>
    <xf numFmtId="1" fontId="4" fillId="0" borderId="8" xfId="2" applyNumberFormat="1" applyFont="1" applyBorder="1" applyAlignment="1">
      <alignment horizontal="right"/>
    </xf>
    <xf numFmtId="1" fontId="4" fillId="0" borderId="9" xfId="2" applyNumberFormat="1" applyFont="1" applyBorder="1" applyAlignment="1">
      <alignment horizontal="right"/>
    </xf>
    <xf numFmtId="1" fontId="4" fillId="0" borderId="15" xfId="2" applyNumberFormat="1" applyFont="1" applyBorder="1" applyAlignment="1">
      <alignment horizontal="right"/>
    </xf>
    <xf numFmtId="0" fontId="30" fillId="0" borderId="0" xfId="2" applyFont="1"/>
    <xf numFmtId="0" fontId="31" fillId="0" borderId="0" xfId="2" applyFont="1"/>
    <xf numFmtId="1" fontId="4" fillId="3" borderId="15" xfId="2" applyNumberFormat="1" applyFont="1" applyFill="1" applyBorder="1"/>
    <xf numFmtId="1" fontId="32" fillId="5" borderId="15" xfId="2" applyNumberFormat="1" applyFont="1" applyFill="1" applyBorder="1"/>
    <xf numFmtId="1" fontId="33" fillId="5" borderId="9" xfId="2" applyNumberFormat="1" applyFont="1" applyFill="1" applyBorder="1"/>
    <xf numFmtId="14" fontId="18" fillId="0" borderId="0" xfId="2" applyNumberFormat="1" applyFont="1" applyAlignment="1">
      <alignment horizontal="center"/>
    </xf>
    <xf numFmtId="1" fontId="4" fillId="0" borderId="0" xfId="2" applyNumberFormat="1" applyFont="1" applyAlignment="1">
      <alignment horizontal="center"/>
    </xf>
    <xf numFmtId="0" fontId="10" fillId="0" borderId="0" xfId="2" applyFont="1" applyAlignment="1">
      <alignment horizontal="left" shrinkToFit="1"/>
    </xf>
    <xf numFmtId="0" fontId="11" fillId="0" borderId="5" xfId="2" applyFont="1" applyBorder="1" applyAlignment="1">
      <alignment shrinkToFit="1"/>
    </xf>
    <xf numFmtId="14" fontId="18" fillId="0" borderId="6" xfId="2" applyNumberFormat="1" applyFont="1" applyBorder="1" applyAlignment="1">
      <alignment horizontal="center"/>
    </xf>
    <xf numFmtId="1" fontId="4" fillId="0" borderId="6" xfId="2" applyNumberFormat="1" applyFont="1" applyBorder="1"/>
    <xf numFmtId="1" fontId="12" fillId="0" borderId="8" xfId="2" applyNumberFormat="1" applyFont="1" applyBorder="1"/>
    <xf numFmtId="1" fontId="33" fillId="5" borderId="8" xfId="2" applyNumberFormat="1" applyFont="1" applyFill="1" applyBorder="1"/>
    <xf numFmtId="1" fontId="11" fillId="0" borderId="5" xfId="2" applyNumberFormat="1" applyFont="1" applyBorder="1" applyAlignment="1">
      <alignment shrinkToFit="1"/>
    </xf>
    <xf numFmtId="0" fontId="12" fillId="0" borderId="6" xfId="2" applyFont="1" applyBorder="1"/>
    <xf numFmtId="0" fontId="4" fillId="0" borderId="6" xfId="2" applyFont="1" applyBorder="1"/>
    <xf numFmtId="0" fontId="4" fillId="0" borderId="6" xfId="2" applyFont="1" applyBorder="1" applyAlignment="1">
      <alignment horizontal="center"/>
    </xf>
    <xf numFmtId="0" fontId="22" fillId="0" borderId="6" xfId="2" applyFont="1" applyBorder="1" applyAlignment="1">
      <alignment horizontal="left"/>
    </xf>
    <xf numFmtId="0" fontId="22" fillId="0" borderId="0" xfId="2" applyFont="1" applyAlignment="1">
      <alignment shrinkToFit="1"/>
    </xf>
    <xf numFmtId="49" fontId="22" fillId="0" borderId="0" xfId="2" applyNumberFormat="1" applyFont="1"/>
    <xf numFmtId="2" fontId="22" fillId="0" borderId="0" xfId="2" applyNumberFormat="1" applyFont="1" applyAlignment="1">
      <alignment horizontal="right"/>
    </xf>
    <xf numFmtId="14" fontId="34" fillId="0" borderId="0" xfId="4" applyNumberFormat="1" applyFont="1"/>
    <xf numFmtId="0" fontId="4" fillId="0" borderId="0" xfId="4" applyFont="1"/>
    <xf numFmtId="0" fontId="35" fillId="0" borderId="0" xfId="4" applyFont="1"/>
    <xf numFmtId="0" fontId="36" fillId="0" borderId="0" xfId="4" applyFont="1"/>
    <xf numFmtId="0" fontId="37" fillId="0" borderId="0" xfId="4" applyFont="1" applyAlignment="1">
      <alignment horizontal="right"/>
    </xf>
    <xf numFmtId="0" fontId="11" fillId="0" borderId="0" xfId="4" applyFont="1"/>
    <xf numFmtId="0" fontId="38" fillId="0" borderId="0" xfId="4" applyFont="1"/>
    <xf numFmtId="0" fontId="39" fillId="6" borderId="0" xfId="4" applyFont="1" applyFill="1"/>
    <xf numFmtId="0" fontId="40" fillId="6" borderId="0" xfId="4" applyFont="1" applyFill="1"/>
    <xf numFmtId="0" fontId="41" fillId="6" borderId="0" xfId="4" applyFont="1" applyFill="1"/>
    <xf numFmtId="1" fontId="39" fillId="6" borderId="0" xfId="4" applyNumberFormat="1" applyFont="1" applyFill="1"/>
    <xf numFmtId="0" fontId="42" fillId="0" borderId="0" xfId="4" applyFont="1"/>
    <xf numFmtId="0" fontId="3" fillId="0" borderId="0" xfId="4"/>
    <xf numFmtId="0" fontId="43" fillId="0" borderId="0" xfId="4" applyFont="1"/>
    <xf numFmtId="2" fontId="44" fillId="0" borderId="0" xfId="4" applyNumberFormat="1" applyFont="1"/>
    <xf numFmtId="0" fontId="21" fillId="0" borderId="0" xfId="4" applyFont="1"/>
    <xf numFmtId="1" fontId="36" fillId="0" borderId="0" xfId="4" applyNumberFormat="1" applyFont="1"/>
    <xf numFmtId="0" fontId="11" fillId="0" borderId="0" xfId="0" applyFont="1"/>
    <xf numFmtId="0" fontId="11" fillId="0" borderId="0" xfId="4" applyFont="1" applyAlignment="1">
      <alignment horizontal="right"/>
    </xf>
    <xf numFmtId="1" fontId="36" fillId="0" borderId="16" xfId="4" applyNumberFormat="1" applyFont="1" applyBorder="1"/>
    <xf numFmtId="0" fontId="4" fillId="0" borderId="0" xfId="0" applyFont="1"/>
    <xf numFmtId="1" fontId="45" fillId="0" borderId="0" xfId="4" applyNumberFormat="1" applyFont="1"/>
    <xf numFmtId="0" fontId="11" fillId="0" borderId="0" xfId="0" applyFont="1" applyAlignment="1">
      <alignment shrinkToFit="1"/>
    </xf>
    <xf numFmtId="0" fontId="36" fillId="0" borderId="0" xfId="4" applyFont="1" applyAlignment="1">
      <alignment horizontal="center" vertical="center"/>
    </xf>
    <xf numFmtId="1" fontId="36" fillId="0" borderId="0" xfId="4" applyNumberFormat="1" applyFont="1" applyAlignment="1">
      <alignment horizontal="center" vertical="center" wrapText="1"/>
    </xf>
    <xf numFmtId="1" fontId="36" fillId="0" borderId="0" xfId="4" applyNumberFormat="1" applyFont="1" applyAlignment="1">
      <alignment horizontal="center" vertical="center"/>
    </xf>
    <xf numFmtId="0" fontId="11" fillId="0" borderId="0" xfId="0" applyFont="1" applyAlignment="1">
      <alignment horizontal="center" shrinkToFit="1"/>
    </xf>
    <xf numFmtId="164" fontId="36" fillId="0" borderId="0" xfId="4" applyNumberFormat="1" applyFont="1" applyAlignment="1">
      <alignment horizontal="center"/>
    </xf>
    <xf numFmtId="1" fontId="36" fillId="7" borderId="0" xfId="4" applyNumberFormat="1" applyFont="1" applyFill="1"/>
    <xf numFmtId="1" fontId="36" fillId="0" borderId="0" xfId="4" applyNumberFormat="1" applyFont="1" applyAlignment="1">
      <alignment horizontal="center"/>
    </xf>
    <xf numFmtId="164" fontId="14" fillId="0" borderId="0" xfId="4" applyNumberFormat="1" applyFont="1" applyAlignment="1">
      <alignment horizontal="center"/>
    </xf>
    <xf numFmtId="1" fontId="11" fillId="0" borderId="0" xfId="4" applyNumberFormat="1" applyFont="1"/>
    <xf numFmtId="2" fontId="36" fillId="0" borderId="0" xfId="4" applyNumberFormat="1" applyFont="1"/>
    <xf numFmtId="1" fontId="11" fillId="0" borderId="0" xfId="0" applyNumberFormat="1" applyFont="1" applyAlignment="1">
      <alignment horizontal="center"/>
    </xf>
    <xf numFmtId="1" fontId="37" fillId="0" borderId="16" xfId="4" applyNumberFormat="1" applyFont="1" applyBorder="1"/>
    <xf numFmtId="1" fontId="37" fillId="8" borderId="16" xfId="4" applyNumberFormat="1" applyFont="1" applyFill="1" applyBorder="1" applyAlignment="1">
      <alignment horizontal="center"/>
    </xf>
    <xf numFmtId="0" fontId="11" fillId="0" borderId="6" xfId="0" applyFont="1" applyBorder="1" applyAlignment="1">
      <alignment shrinkToFit="1"/>
    </xf>
    <xf numFmtId="0" fontId="36" fillId="0" borderId="6" xfId="4" applyFont="1" applyBorder="1"/>
    <xf numFmtId="1" fontId="37" fillId="0" borderId="6" xfId="4" applyNumberFormat="1" applyFont="1" applyBorder="1"/>
    <xf numFmtId="17" fontId="46" fillId="0" borderId="17" xfId="4" applyNumberFormat="1" applyFont="1" applyBorder="1" applyAlignment="1">
      <alignment horizontal="right"/>
    </xf>
    <xf numFmtId="0" fontId="47" fillId="0" borderId="0" xfId="4" applyFont="1"/>
    <xf numFmtId="2" fontId="37" fillId="0" borderId="0" xfId="4" applyNumberFormat="1" applyFont="1"/>
    <xf numFmtId="0" fontId="36" fillId="0" borderId="0" xfId="4" applyFont="1" applyAlignment="1">
      <alignment horizontal="center"/>
    </xf>
    <xf numFmtId="17" fontId="36" fillId="0" borderId="0" xfId="4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36" fillId="0" borderId="0" xfId="4" applyFont="1" applyAlignment="1">
      <alignment horizontal="left" indent="1"/>
    </xf>
    <xf numFmtId="9" fontId="48" fillId="0" borderId="0" xfId="4" applyNumberFormat="1" applyFont="1" applyAlignment="1">
      <alignment horizontal="center"/>
    </xf>
    <xf numFmtId="0" fontId="49" fillId="0" borderId="0" xfId="4" applyFont="1" applyAlignment="1">
      <alignment horizontal="right"/>
    </xf>
    <xf numFmtId="1" fontId="36" fillId="0" borderId="0" xfId="4" applyNumberFormat="1" applyFont="1" applyAlignment="1">
      <alignment horizontal="left"/>
    </xf>
    <xf numFmtId="164" fontId="34" fillId="7" borderId="0" xfId="4" applyNumberFormat="1" applyFont="1" applyFill="1" applyAlignment="1">
      <alignment horizontal="center"/>
    </xf>
    <xf numFmtId="1" fontId="49" fillId="0" borderId="0" xfId="4" applyNumberFormat="1" applyFont="1" applyAlignment="1">
      <alignment horizontal="left"/>
    </xf>
    <xf numFmtId="0" fontId="22" fillId="0" borderId="0" xfId="0" applyFont="1"/>
    <xf numFmtId="1" fontId="36" fillId="0" borderId="0" xfId="4" applyNumberFormat="1" applyFont="1" applyAlignment="1">
      <alignment horizontal="right"/>
    </xf>
    <xf numFmtId="1" fontId="37" fillId="0" borderId="16" xfId="4" applyNumberFormat="1" applyFont="1" applyBorder="1" applyAlignment="1">
      <alignment horizontal="center"/>
    </xf>
    <xf numFmtId="0" fontId="11" fillId="0" borderId="6" xfId="0" applyFont="1" applyBorder="1"/>
    <xf numFmtId="1" fontId="36" fillId="0" borderId="6" xfId="4" applyNumberFormat="1" applyFont="1" applyBorder="1" applyAlignment="1">
      <alignment horizontal="right"/>
    </xf>
    <xf numFmtId="1" fontId="36" fillId="0" borderId="6" xfId="4" applyNumberFormat="1" applyFont="1" applyBorder="1"/>
    <xf numFmtId="14" fontId="36" fillId="0" borderId="0" xfId="4" applyNumberFormat="1" applyFont="1" applyAlignment="1">
      <alignment horizontal="center"/>
    </xf>
    <xf numFmtId="0" fontId="36" fillId="0" borderId="0" xfId="4" applyFont="1" applyAlignment="1">
      <alignment horizontal="left" indent="2"/>
    </xf>
    <xf numFmtId="1" fontId="11" fillId="0" borderId="0" xfId="0" applyNumberFormat="1" applyFont="1"/>
    <xf numFmtId="0" fontId="11" fillId="0" borderId="0" xfId="4" applyFont="1" applyAlignment="1">
      <alignment shrinkToFit="1"/>
    </xf>
    <xf numFmtId="17" fontId="46" fillId="0" borderId="0" xfId="4" applyNumberFormat="1" applyFont="1" applyAlignment="1">
      <alignment horizontal="right"/>
    </xf>
    <xf numFmtId="0" fontId="11" fillId="0" borderId="18" xfId="4" applyFont="1" applyBorder="1" applyAlignment="1">
      <alignment shrinkToFit="1"/>
    </xf>
    <xf numFmtId="0" fontId="4" fillId="0" borderId="18" xfId="4" applyFont="1" applyBorder="1"/>
    <xf numFmtId="0" fontId="11" fillId="0" borderId="0" xfId="2" applyFont="1" applyAlignment="1">
      <alignment shrinkToFit="1"/>
    </xf>
    <xf numFmtId="0" fontId="4" fillId="0" borderId="0" xfId="4" applyFont="1" applyAlignment="1">
      <alignment horizontal="left"/>
    </xf>
    <xf numFmtId="38" fontId="4" fillId="0" borderId="0" xfId="4" applyNumberFormat="1" applyFont="1"/>
    <xf numFmtId="38" fontId="4" fillId="0" borderId="0" xfId="2" applyNumberFormat="1" applyFont="1"/>
    <xf numFmtId="0" fontId="11" fillId="0" borderId="0" xfId="2" applyFont="1" applyAlignment="1">
      <alignment horizontal="left" indent="1"/>
    </xf>
    <xf numFmtId="0" fontId="4" fillId="0" borderId="16" xfId="4" applyFont="1" applyBorder="1"/>
    <xf numFmtId="38" fontId="12" fillId="0" borderId="16" xfId="4" applyNumberFormat="1" applyFont="1" applyBorder="1"/>
    <xf numFmtId="0" fontId="4" fillId="0" borderId="16" xfId="2" applyFont="1" applyBorder="1"/>
    <xf numFmtId="38" fontId="4" fillId="0" borderId="16" xfId="2" applyNumberFormat="1" applyFont="1" applyBorder="1"/>
    <xf numFmtId="0" fontId="10" fillId="0" borderId="0" xfId="2" applyFont="1" applyAlignment="1">
      <alignment horizontal="left" shrinkToFit="1"/>
    </xf>
    <xf numFmtId="0" fontId="10" fillId="0" borderId="6" xfId="2" applyFont="1" applyBorder="1" applyAlignment="1">
      <alignment horizontal="left" shrinkToFit="1"/>
    </xf>
    <xf numFmtId="0" fontId="4" fillId="9" borderId="0" xfId="4" applyFont="1" applyFill="1" applyAlignment="1">
      <alignment horizontal="center"/>
    </xf>
    <xf numFmtId="0" fontId="4" fillId="0" borderId="0" xfId="4" applyFont="1" applyAlignment="1">
      <alignment horizontal="left"/>
    </xf>
    <xf numFmtId="1" fontId="2" fillId="2" borderId="1" xfId="1" applyNumberFormat="1" applyFont="1" applyFill="1" applyBorder="1" applyAlignment="1">
      <alignment horizontal="center" vertical="center"/>
    </xf>
    <xf numFmtId="1" fontId="2" fillId="2" borderId="0" xfId="1" applyNumberFormat="1" applyFont="1" applyFill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5" xfId="2" applyFont="1" applyBorder="1" applyAlignment="1">
      <alignment horizontal="center"/>
    </xf>
    <xf numFmtId="0" fontId="5" fillId="0" borderId="6" xfId="2" applyFont="1" applyBorder="1" applyAlignment="1">
      <alignment horizontal="center"/>
    </xf>
  </cellXfs>
  <cellStyles count="5">
    <cellStyle name="Normal" xfId="0" builtinId="0"/>
    <cellStyle name="Normal 2" xfId="2" xr:uid="{BDCF1042-6FC9-4E25-A723-A31393ECC9C5}"/>
    <cellStyle name="Normal 2 2" xfId="4" xr:uid="{D41AE227-C3B2-4343-978C-0088FE8034FD}"/>
    <cellStyle name="Normal 3" xfId="3" xr:uid="{2DD59399-2FB0-4CCB-827D-8CF1DBA11920}"/>
    <cellStyle name="Normal 4" xfId="1" xr:uid="{51428507-683D-471F-9C35-BE515F264E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ilmb21.indiatimes.com/service/home/~/Final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1.86 "/>
      <sheetName val="Reader"/>
      <sheetName val="Sheet1"/>
    </sheetNames>
    <sheetDataSet>
      <sheetData sheetId="0"/>
      <sheetData sheetId="1"/>
      <sheetData sheetId="2">
        <row r="4">
          <cell r="S4">
            <v>13260</v>
          </cell>
          <cell r="T4">
            <v>37400</v>
          </cell>
        </row>
        <row r="5">
          <cell r="S5">
            <v>13680</v>
          </cell>
          <cell r="T5">
            <v>37400</v>
          </cell>
        </row>
        <row r="6">
          <cell r="S6">
            <v>14100</v>
          </cell>
          <cell r="T6">
            <v>38530</v>
          </cell>
        </row>
        <row r="7">
          <cell r="S7">
            <v>14520</v>
          </cell>
          <cell r="T7">
            <v>38530</v>
          </cell>
        </row>
        <row r="8">
          <cell r="S8">
            <v>14940</v>
          </cell>
          <cell r="T8">
            <v>39690</v>
          </cell>
        </row>
        <row r="9">
          <cell r="S9">
            <v>15360</v>
          </cell>
          <cell r="T9">
            <v>39690</v>
          </cell>
        </row>
        <row r="10">
          <cell r="S10">
            <v>15780</v>
          </cell>
          <cell r="T10">
            <v>40890</v>
          </cell>
        </row>
        <row r="11">
          <cell r="S11">
            <v>16200</v>
          </cell>
          <cell r="T11">
            <v>40890</v>
          </cell>
        </row>
        <row r="12">
          <cell r="S12">
            <v>16400</v>
          </cell>
          <cell r="T12">
            <v>43390</v>
          </cell>
        </row>
        <row r="13">
          <cell r="S13">
            <v>16620</v>
          </cell>
          <cell r="T13">
            <v>42120</v>
          </cell>
        </row>
        <row r="14">
          <cell r="S14">
            <v>16850</v>
          </cell>
          <cell r="T14">
            <v>43390</v>
          </cell>
        </row>
        <row r="15">
          <cell r="S15">
            <v>17040</v>
          </cell>
          <cell r="T15">
            <v>42120</v>
          </cell>
        </row>
        <row r="16">
          <cell r="S16">
            <v>17300</v>
          </cell>
          <cell r="T16">
            <v>44700</v>
          </cell>
        </row>
        <row r="17">
          <cell r="S17">
            <v>17460</v>
          </cell>
          <cell r="T17">
            <v>43390</v>
          </cell>
        </row>
        <row r="18">
          <cell r="S18">
            <v>17750</v>
          </cell>
          <cell r="T18">
            <v>44700</v>
          </cell>
        </row>
        <row r="19">
          <cell r="S19">
            <v>17880</v>
          </cell>
          <cell r="T19">
            <v>43390</v>
          </cell>
        </row>
        <row r="20">
          <cell r="S20">
            <v>18200</v>
          </cell>
          <cell r="T20">
            <v>46050</v>
          </cell>
        </row>
        <row r="21">
          <cell r="S21">
            <v>18300</v>
          </cell>
          <cell r="T21">
            <v>44700</v>
          </cell>
        </row>
        <row r="22">
          <cell r="S22">
            <v>18650</v>
          </cell>
          <cell r="T22">
            <v>46050</v>
          </cell>
        </row>
        <row r="23">
          <cell r="S23">
            <v>18720</v>
          </cell>
          <cell r="T23">
            <v>44700</v>
          </cell>
        </row>
        <row r="24">
          <cell r="S24">
            <v>19100</v>
          </cell>
          <cell r="T24">
            <v>47440</v>
          </cell>
        </row>
        <row r="25">
          <cell r="S25">
            <v>19140</v>
          </cell>
          <cell r="T25">
            <v>46050</v>
          </cell>
        </row>
        <row r="26">
          <cell r="S26">
            <v>19550</v>
          </cell>
          <cell r="T26">
            <v>47440</v>
          </cell>
        </row>
        <row r="27">
          <cell r="S27">
            <v>19560</v>
          </cell>
          <cell r="T27">
            <v>46050</v>
          </cell>
        </row>
        <row r="28">
          <cell r="S28">
            <v>19980</v>
          </cell>
          <cell r="T28">
            <v>47440</v>
          </cell>
        </row>
        <row r="29">
          <cell r="S29">
            <v>20000</v>
          </cell>
          <cell r="T29">
            <v>48870</v>
          </cell>
        </row>
        <row r="30">
          <cell r="S30">
            <v>20450</v>
          </cell>
          <cell r="T30">
            <v>48870</v>
          </cell>
        </row>
        <row r="31">
          <cell r="S31">
            <v>20900</v>
          </cell>
          <cell r="T31">
            <v>50340</v>
          </cell>
        </row>
        <row r="32">
          <cell r="S32">
            <v>21400</v>
          </cell>
          <cell r="T32">
            <v>50340</v>
          </cell>
        </row>
        <row r="33">
          <cell r="S33">
            <v>21900</v>
          </cell>
          <cell r="T33">
            <v>51860</v>
          </cell>
        </row>
        <row r="34">
          <cell r="S34">
            <v>22400</v>
          </cell>
          <cell r="T34">
            <v>51860</v>
          </cell>
        </row>
        <row r="35">
          <cell r="S35">
            <v>22900</v>
          </cell>
          <cell r="T35">
            <v>53420</v>
          </cell>
        </row>
        <row r="36">
          <cell r="S36">
            <v>23400</v>
          </cell>
          <cell r="T36">
            <v>53420</v>
          </cell>
        </row>
        <row r="37">
          <cell r="S37">
            <v>23900</v>
          </cell>
          <cell r="T37">
            <v>55030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08487-027A-4AC3-ABD0-BC8DF1100F9B}">
  <sheetPr>
    <pageSetUpPr fitToPage="1"/>
  </sheetPr>
  <dimension ref="A1:M112"/>
  <sheetViews>
    <sheetView showZeros="0" tabSelected="1" zoomScale="130" zoomScaleNormal="130" workbookViewId="0">
      <selection activeCell="J88" sqref="J88"/>
    </sheetView>
  </sheetViews>
  <sheetFormatPr defaultColWidth="9.109375" defaultRowHeight="15" customHeight="1" x14ac:dyDescent="0.25"/>
  <cols>
    <col min="1" max="1" width="5" style="165" customWidth="1"/>
    <col min="2" max="2" width="11.6640625" style="1" customWidth="1"/>
    <col min="3" max="3" width="13.21875" style="1" customWidth="1"/>
    <col min="4" max="7" width="11.6640625" style="1" customWidth="1"/>
    <col min="8" max="8" width="13.6640625" style="1" customWidth="1"/>
    <col min="9" max="9" width="13.6640625" style="76" customWidth="1"/>
    <col min="10" max="10" width="6.6640625" style="1" customWidth="1"/>
    <col min="11" max="11" width="18.109375" style="1" customWidth="1"/>
    <col min="12" max="12" width="10.5546875" style="1" customWidth="1"/>
    <col min="13" max="13" width="10.88671875" style="1" customWidth="1"/>
    <col min="14" max="16384" width="9.109375" style="1"/>
  </cols>
  <sheetData>
    <row r="1" spans="1:12" ht="15" customHeight="1" x14ac:dyDescent="0.25">
      <c r="A1" s="178" t="s">
        <v>0</v>
      </c>
      <c r="B1" s="179"/>
      <c r="C1" s="179"/>
      <c r="D1" s="179"/>
      <c r="E1" s="179"/>
      <c r="F1" s="179"/>
      <c r="G1" s="179"/>
      <c r="H1" s="179"/>
      <c r="I1" s="179"/>
    </row>
    <row r="2" spans="1:12" ht="15" customHeight="1" thickBot="1" x14ac:dyDescent="0.3">
      <c r="A2" s="178" t="s">
        <v>1</v>
      </c>
      <c r="B2" s="179"/>
      <c r="C2" s="179"/>
      <c r="D2" s="179"/>
      <c r="E2" s="179"/>
      <c r="F2" s="179"/>
      <c r="G2" s="179"/>
      <c r="H2" s="179"/>
      <c r="I2" s="179"/>
    </row>
    <row r="3" spans="1:12" s="5" customFormat="1" ht="16.8" customHeight="1" x14ac:dyDescent="0.25">
      <c r="A3" s="180" t="s">
        <v>2</v>
      </c>
      <c r="B3" s="181"/>
      <c r="C3" s="181"/>
      <c r="D3" s="181"/>
      <c r="E3" s="181"/>
      <c r="F3" s="181"/>
      <c r="G3" s="2"/>
      <c r="H3" s="3" t="s">
        <v>3</v>
      </c>
      <c r="I3" s="4" t="s">
        <v>4</v>
      </c>
      <c r="K3" s="6"/>
    </row>
    <row r="4" spans="1:12" ht="14.4" customHeight="1" thickBot="1" x14ac:dyDescent="0.35">
      <c r="A4" s="182" t="s">
        <v>5</v>
      </c>
      <c r="B4" s="183"/>
      <c r="C4" s="183"/>
      <c r="D4" s="183"/>
      <c r="E4" s="183"/>
      <c r="F4" s="183"/>
      <c r="G4" s="7">
        <v>28126</v>
      </c>
      <c r="H4" s="8"/>
      <c r="I4" s="9"/>
      <c r="K4" s="10"/>
      <c r="L4" s="5"/>
    </row>
    <row r="5" spans="1:12" ht="15" customHeight="1" x14ac:dyDescent="0.25">
      <c r="A5" s="11"/>
      <c r="B5" s="12" t="s">
        <v>6</v>
      </c>
      <c r="C5" s="13"/>
      <c r="D5" s="13"/>
      <c r="E5" s="13"/>
      <c r="F5" s="13"/>
      <c r="G5" s="14">
        <f>H4-I4</f>
        <v>0</v>
      </c>
      <c r="H5" s="15"/>
      <c r="I5" s="16"/>
      <c r="K5" s="5"/>
      <c r="L5" s="5"/>
    </row>
    <row r="6" spans="1:12" ht="15" customHeight="1" x14ac:dyDescent="0.25">
      <c r="A6" s="17"/>
      <c r="B6" s="18"/>
      <c r="C6" s="19" t="s">
        <v>7</v>
      </c>
      <c r="G6" s="20"/>
      <c r="H6" s="16"/>
      <c r="I6" s="16"/>
      <c r="K6" s="5"/>
      <c r="L6" s="5"/>
    </row>
    <row r="7" spans="1:12" ht="15" customHeight="1" x14ac:dyDescent="0.25">
      <c r="A7" s="17"/>
      <c r="B7" s="18"/>
      <c r="C7" s="19" t="s">
        <v>8</v>
      </c>
      <c r="G7" s="20"/>
      <c r="H7" s="16"/>
      <c r="I7" s="16"/>
      <c r="K7" s="5"/>
      <c r="L7" s="5"/>
    </row>
    <row r="8" spans="1:12" ht="15" customHeight="1" x14ac:dyDescent="0.25">
      <c r="A8" s="17"/>
      <c r="B8" s="18"/>
      <c r="C8" s="19" t="s">
        <v>9</v>
      </c>
      <c r="G8" s="21"/>
      <c r="H8" s="16"/>
      <c r="I8" s="16"/>
      <c r="K8" s="5"/>
      <c r="L8" s="5"/>
    </row>
    <row r="9" spans="1:12" ht="15" customHeight="1" x14ac:dyDescent="0.25">
      <c r="A9" s="17"/>
      <c r="B9" s="22"/>
      <c r="C9" s="19"/>
      <c r="F9" s="23" t="s">
        <v>10</v>
      </c>
      <c r="G9" s="24">
        <f>SUM(G6:G8)</f>
        <v>0</v>
      </c>
      <c r="H9" s="16"/>
      <c r="I9" s="16"/>
      <c r="K9" s="5"/>
      <c r="L9" s="5"/>
    </row>
    <row r="10" spans="1:12" ht="15" customHeight="1" x14ac:dyDescent="0.25">
      <c r="A10" s="17"/>
      <c r="B10" s="25"/>
      <c r="C10" s="26" t="s">
        <v>11</v>
      </c>
      <c r="G10" s="21"/>
      <c r="H10" s="16"/>
      <c r="I10" s="16"/>
      <c r="K10" s="5"/>
      <c r="L10" s="5"/>
    </row>
    <row r="11" spans="1:12" ht="15" customHeight="1" x14ac:dyDescent="0.25">
      <c r="A11" s="17"/>
      <c r="B11" s="22"/>
      <c r="F11" s="27" t="s">
        <v>12</v>
      </c>
      <c r="G11" s="28">
        <f>G9+G10</f>
        <v>0</v>
      </c>
      <c r="H11" s="16"/>
      <c r="I11" s="16"/>
      <c r="K11" s="5"/>
      <c r="L11" s="5"/>
    </row>
    <row r="12" spans="1:12" ht="15" customHeight="1" x14ac:dyDescent="0.25">
      <c r="A12" s="17"/>
      <c r="B12" s="18"/>
      <c r="C12" s="29" t="s">
        <v>13</v>
      </c>
      <c r="G12" s="21">
        <f>IF(G11&gt;50000,50000,0)*-1</f>
        <v>0</v>
      </c>
      <c r="H12" s="16">
        <f>G11+G12</f>
        <v>0</v>
      </c>
      <c r="I12" s="16">
        <f>G9</f>
        <v>0</v>
      </c>
      <c r="K12" s="5"/>
      <c r="L12" s="5"/>
    </row>
    <row r="13" spans="1:12" ht="15" customHeight="1" x14ac:dyDescent="0.25">
      <c r="A13" s="17"/>
      <c r="B13" s="30" t="s">
        <v>14</v>
      </c>
      <c r="H13" s="16"/>
      <c r="I13" s="16"/>
      <c r="K13" s="5"/>
      <c r="L13" s="5"/>
    </row>
    <row r="14" spans="1:12" ht="15" customHeight="1" x14ac:dyDescent="0.25">
      <c r="A14" s="17"/>
      <c r="B14" s="31" t="s">
        <v>15</v>
      </c>
      <c r="C14" s="1" t="s">
        <v>16</v>
      </c>
      <c r="E14" s="32"/>
      <c r="H14" s="16"/>
      <c r="I14" s="16"/>
      <c r="K14" s="5"/>
      <c r="L14" s="5"/>
    </row>
    <row r="15" spans="1:12" ht="15" customHeight="1" x14ac:dyDescent="0.25">
      <c r="A15" s="17"/>
      <c r="B15" s="31" t="s">
        <v>17</v>
      </c>
      <c r="C15" s="19" t="s">
        <v>18</v>
      </c>
      <c r="D15" s="19"/>
      <c r="F15" s="6"/>
      <c r="G15" s="33">
        <v>480000</v>
      </c>
      <c r="H15" s="16"/>
      <c r="I15" s="16"/>
      <c r="K15" s="5"/>
      <c r="L15" s="5"/>
    </row>
    <row r="16" spans="1:12" ht="15" customHeight="1" x14ac:dyDescent="0.25">
      <c r="A16" s="17"/>
      <c r="C16" s="34" t="s">
        <v>19</v>
      </c>
      <c r="D16" s="19"/>
      <c r="E16" s="35"/>
      <c r="F16" s="6"/>
      <c r="G16" s="36">
        <f>15000*-1</f>
        <v>-15000</v>
      </c>
      <c r="H16" s="16"/>
      <c r="I16" s="16"/>
      <c r="K16" s="5"/>
      <c r="L16" s="5"/>
    </row>
    <row r="17" spans="1:12" ht="15" customHeight="1" x14ac:dyDescent="0.25">
      <c r="A17" s="17"/>
      <c r="C17" s="34"/>
      <c r="D17" s="19"/>
      <c r="E17" s="35"/>
      <c r="F17" s="6"/>
      <c r="G17" s="1">
        <f>G15+G16</f>
        <v>465000</v>
      </c>
      <c r="H17" s="16"/>
      <c r="I17" s="16"/>
      <c r="K17" s="5"/>
      <c r="L17" s="5"/>
    </row>
    <row r="18" spans="1:12" ht="15" customHeight="1" x14ac:dyDescent="0.25">
      <c r="A18" s="17"/>
      <c r="C18" s="29" t="s">
        <v>20</v>
      </c>
      <c r="D18" s="19"/>
      <c r="E18" s="35"/>
      <c r="F18" s="37">
        <f>G17*30%</f>
        <v>139500</v>
      </c>
      <c r="H18" s="16"/>
      <c r="I18" s="16"/>
      <c r="K18" s="5"/>
      <c r="L18" s="5"/>
    </row>
    <row r="19" spans="1:12" ht="15" customHeight="1" x14ac:dyDescent="0.25">
      <c r="A19" s="17"/>
      <c r="B19" s="18"/>
      <c r="D19" s="26" t="s">
        <v>21</v>
      </c>
      <c r="F19" s="38">
        <v>250000</v>
      </c>
      <c r="G19" s="39">
        <f>(F18+F19)*-1</f>
        <v>-389500</v>
      </c>
      <c r="H19" s="16">
        <f>G17+G19</f>
        <v>75500</v>
      </c>
      <c r="I19" s="16">
        <f>+H19</f>
        <v>75500</v>
      </c>
      <c r="K19" s="5"/>
      <c r="L19" s="5"/>
    </row>
    <row r="20" spans="1:12" ht="15" customHeight="1" x14ac:dyDescent="0.25">
      <c r="A20" s="17"/>
      <c r="B20" s="30" t="s">
        <v>22</v>
      </c>
      <c r="C20" s="37"/>
      <c r="E20" s="40"/>
      <c r="H20" s="16"/>
      <c r="I20" s="16"/>
      <c r="K20" s="5"/>
      <c r="L20" s="5"/>
    </row>
    <row r="21" spans="1:12" ht="15" customHeight="1" x14ac:dyDescent="0.25">
      <c r="A21" s="17"/>
      <c r="C21" s="37" t="s">
        <v>23</v>
      </c>
      <c r="E21" s="40"/>
      <c r="H21" s="16">
        <f>+E111</f>
        <v>860500</v>
      </c>
      <c r="I21" s="16">
        <f>+H21</f>
        <v>860500</v>
      </c>
      <c r="K21" s="5"/>
      <c r="L21" s="5"/>
    </row>
    <row r="22" spans="1:12" ht="17.399999999999999" customHeight="1" x14ac:dyDescent="0.25">
      <c r="A22" s="17"/>
      <c r="B22" s="41" t="s">
        <v>24</v>
      </c>
      <c r="C22" s="42"/>
      <c r="D22" s="42"/>
      <c r="E22" s="42"/>
      <c r="F22" s="42"/>
      <c r="G22" s="42"/>
      <c r="H22" s="16"/>
      <c r="I22" s="16"/>
      <c r="K22" s="5"/>
      <c r="L22" s="5"/>
    </row>
    <row r="23" spans="1:12" ht="15" customHeight="1" x14ac:dyDescent="0.25">
      <c r="A23" s="17"/>
      <c r="B23" s="42"/>
      <c r="C23" s="43" t="s">
        <v>25</v>
      </c>
      <c r="D23" s="42"/>
      <c r="E23" s="42"/>
      <c r="F23" s="42"/>
      <c r="G23" s="33"/>
      <c r="H23" s="16"/>
      <c r="I23" s="16"/>
      <c r="K23" s="5"/>
      <c r="L23" s="5"/>
    </row>
    <row r="24" spans="1:12" ht="15" customHeight="1" x14ac:dyDescent="0.25">
      <c r="A24" s="17"/>
      <c r="B24" s="42"/>
      <c r="C24" s="43" t="s">
        <v>26</v>
      </c>
      <c r="D24" s="42"/>
      <c r="E24" s="42"/>
      <c r="F24" s="42"/>
      <c r="G24" s="36"/>
      <c r="H24" s="16"/>
      <c r="I24" s="16"/>
      <c r="K24" s="5"/>
      <c r="L24" s="5"/>
    </row>
    <row r="25" spans="1:12" ht="15" customHeight="1" x14ac:dyDescent="0.25">
      <c r="A25" s="17"/>
      <c r="B25" s="30" t="s">
        <v>27</v>
      </c>
      <c r="H25" s="16"/>
      <c r="I25" s="16"/>
    </row>
    <row r="26" spans="1:12" ht="15" customHeight="1" x14ac:dyDescent="0.25">
      <c r="A26" s="17"/>
      <c r="B26" s="44"/>
      <c r="C26" s="37" t="s">
        <v>28</v>
      </c>
      <c r="D26" s="18"/>
      <c r="E26" s="18"/>
      <c r="G26" s="33">
        <f>8000+5000</f>
        <v>13000</v>
      </c>
      <c r="H26" s="16"/>
      <c r="I26" s="16"/>
    </row>
    <row r="27" spans="1:12" ht="15" customHeight="1" x14ac:dyDescent="0.25">
      <c r="A27" s="17"/>
      <c r="B27" s="44"/>
      <c r="C27" s="37" t="s">
        <v>29</v>
      </c>
      <c r="F27" s="37"/>
      <c r="G27" s="45">
        <v>50000</v>
      </c>
      <c r="H27" s="16"/>
      <c r="I27" s="16"/>
    </row>
    <row r="28" spans="1:12" ht="15" customHeight="1" x14ac:dyDescent="0.25">
      <c r="A28" s="17"/>
      <c r="B28" s="46">
        <v>43952</v>
      </c>
      <c r="C28" s="18" t="s">
        <v>30</v>
      </c>
      <c r="G28" s="45">
        <v>2500</v>
      </c>
      <c r="H28" s="16"/>
      <c r="I28" s="16"/>
    </row>
    <row r="29" spans="1:12" ht="15" customHeight="1" x14ac:dyDescent="0.25">
      <c r="A29" s="17"/>
      <c r="B29" s="44"/>
      <c r="C29" s="18"/>
      <c r="G29" s="47"/>
      <c r="H29" s="16">
        <f>SUM(G26:G29)</f>
        <v>65500</v>
      </c>
      <c r="I29" s="16">
        <f>+H29</f>
        <v>65500</v>
      </c>
    </row>
    <row r="30" spans="1:12" ht="15" customHeight="1" x14ac:dyDescent="0.25">
      <c r="A30" s="17"/>
      <c r="B30" s="30" t="s">
        <v>31</v>
      </c>
      <c r="G30" s="28"/>
      <c r="H30" s="16"/>
      <c r="I30" s="16"/>
    </row>
    <row r="31" spans="1:12" ht="15" customHeight="1" x14ac:dyDescent="0.25">
      <c r="A31" s="17"/>
      <c r="B31" s="22"/>
      <c r="C31" s="48" t="s">
        <v>32</v>
      </c>
      <c r="F31" s="33">
        <v>135000</v>
      </c>
      <c r="G31" s="28"/>
      <c r="H31" s="16"/>
      <c r="I31" s="16"/>
    </row>
    <row r="32" spans="1:12" ht="18.75" customHeight="1" x14ac:dyDescent="0.25">
      <c r="A32" s="17"/>
      <c r="B32" s="30" t="s">
        <v>33</v>
      </c>
      <c r="E32" s="6"/>
      <c r="F32" s="6"/>
      <c r="G32" s="49"/>
      <c r="H32" s="50">
        <f>SUM(H6:H30)</f>
        <v>1001500</v>
      </c>
      <c r="I32" s="50">
        <f>SUM(I6:I30)</f>
        <v>1001500</v>
      </c>
    </row>
    <row r="33" spans="1:13" ht="15" customHeight="1" x14ac:dyDescent="0.25">
      <c r="A33" s="17"/>
      <c r="B33" s="51" t="s">
        <v>34</v>
      </c>
      <c r="H33" s="16"/>
      <c r="I33" s="16"/>
    </row>
    <row r="34" spans="1:13" ht="15" customHeight="1" x14ac:dyDescent="0.25">
      <c r="A34" s="17"/>
      <c r="B34" s="52"/>
      <c r="C34" s="53" t="s">
        <v>35</v>
      </c>
      <c r="D34" s="54" t="s">
        <v>36</v>
      </c>
      <c r="G34" s="33">
        <v>110000</v>
      </c>
      <c r="H34" s="16"/>
      <c r="I34" s="16"/>
    </row>
    <row r="35" spans="1:13" ht="15" customHeight="1" x14ac:dyDescent="0.25">
      <c r="A35" s="17"/>
      <c r="B35" s="52"/>
      <c r="C35" s="53" t="s">
        <v>37</v>
      </c>
      <c r="D35" s="54" t="s">
        <v>38</v>
      </c>
      <c r="G35" s="1">
        <v>40000</v>
      </c>
      <c r="H35" s="16"/>
      <c r="I35" s="16"/>
    </row>
    <row r="36" spans="1:13" ht="15" customHeight="1" x14ac:dyDescent="0.25">
      <c r="A36" s="17"/>
      <c r="B36" s="52"/>
      <c r="C36" s="53" t="s">
        <v>39</v>
      </c>
      <c r="G36" s="1">
        <v>50000</v>
      </c>
      <c r="H36" s="16"/>
      <c r="I36" s="16"/>
    </row>
    <row r="37" spans="1:13" ht="15" hidden="1" customHeight="1" x14ac:dyDescent="0.25">
      <c r="A37" s="17"/>
      <c r="B37" s="52"/>
      <c r="C37" s="53" t="s">
        <v>40</v>
      </c>
      <c r="F37" s="30"/>
      <c r="G37" s="33"/>
      <c r="H37" s="16"/>
      <c r="I37" s="16"/>
    </row>
    <row r="38" spans="1:13" ht="15" hidden="1" customHeight="1" x14ac:dyDescent="0.25">
      <c r="A38" s="17"/>
      <c r="B38" s="52"/>
      <c r="C38" s="53" t="s">
        <v>41</v>
      </c>
      <c r="F38" s="30"/>
      <c r="G38" s="33"/>
      <c r="H38" s="16"/>
      <c r="I38" s="16"/>
    </row>
    <row r="39" spans="1:13" ht="15" customHeight="1" x14ac:dyDescent="0.25">
      <c r="A39" s="17"/>
      <c r="B39" s="52"/>
      <c r="C39" s="53" t="s">
        <v>42</v>
      </c>
      <c r="E39" s="55">
        <v>28000</v>
      </c>
      <c r="G39" s="33">
        <v>25000</v>
      </c>
      <c r="H39" s="16"/>
      <c r="I39" s="16"/>
    </row>
    <row r="40" spans="1:13" ht="15" customHeight="1" x14ac:dyDescent="0.25">
      <c r="A40" s="17"/>
      <c r="C40" s="53" t="s">
        <v>43</v>
      </c>
      <c r="D40" s="37"/>
      <c r="E40" s="55"/>
      <c r="F40" s="6"/>
      <c r="G40" s="33">
        <v>10000</v>
      </c>
      <c r="H40" s="16"/>
      <c r="I40" s="16"/>
      <c r="K40" s="37"/>
      <c r="L40" s="56" t="s">
        <v>44</v>
      </c>
      <c r="M40" s="56" t="s">
        <v>45</v>
      </c>
    </row>
    <row r="41" spans="1:13" ht="15" customHeight="1" x14ac:dyDescent="0.25">
      <c r="A41" s="17"/>
      <c r="C41" s="53"/>
      <c r="D41" s="37"/>
      <c r="E41" s="6"/>
      <c r="F41" s="6"/>
      <c r="G41" s="57"/>
      <c r="H41" s="16">
        <f>SUM(G33:G41)</f>
        <v>235000</v>
      </c>
      <c r="I41" s="58"/>
      <c r="K41" s="56" t="s">
        <v>46</v>
      </c>
      <c r="L41" s="59">
        <v>250000</v>
      </c>
      <c r="M41" s="59">
        <v>250000</v>
      </c>
    </row>
    <row r="42" spans="1:13" ht="21.75" customHeight="1" thickBot="1" x14ac:dyDescent="0.3">
      <c r="A42" s="17"/>
      <c r="B42" s="60" t="s">
        <v>47</v>
      </c>
      <c r="E42" s="61"/>
      <c r="F42" s="62" t="s">
        <v>48</v>
      </c>
      <c r="G42" s="63"/>
      <c r="H42" s="64">
        <f>IF((H32-H41)&lt;0,0,(H32-H41))</f>
        <v>766500</v>
      </c>
      <c r="I42" s="64">
        <f>IF((I32-I41)&lt;0,0,(I32-I41))</f>
        <v>1001500</v>
      </c>
      <c r="K42" s="65" t="s">
        <v>49</v>
      </c>
      <c r="L42" s="66">
        <v>300000</v>
      </c>
      <c r="M42" s="66">
        <v>250000</v>
      </c>
    </row>
    <row r="43" spans="1:13" ht="15" customHeight="1" thickTop="1" x14ac:dyDescent="0.25">
      <c r="A43" s="17"/>
      <c r="B43" s="30" t="s">
        <v>50</v>
      </c>
      <c r="E43" s="67"/>
      <c r="F43" s="68"/>
      <c r="G43" s="56"/>
      <c r="H43" s="69"/>
      <c r="I43" s="69"/>
      <c r="K43" s="56" t="s">
        <v>51</v>
      </c>
      <c r="L43" s="70">
        <f>+M43</f>
        <v>0.05</v>
      </c>
      <c r="M43" s="70">
        <v>0.05</v>
      </c>
    </row>
    <row r="44" spans="1:13" ht="15" customHeight="1" x14ac:dyDescent="0.25">
      <c r="A44" s="17"/>
      <c r="B44" s="71">
        <f>IF(G4&lt;22373,"Sr Citizen",0)</f>
        <v>0</v>
      </c>
      <c r="C44" s="37" t="s">
        <v>52</v>
      </c>
      <c r="E44" s="72">
        <f>H42-E45</f>
        <v>766500</v>
      </c>
      <c r="F44" s="56" t="s">
        <v>53</v>
      </c>
      <c r="G44" s="56"/>
      <c r="H44" s="69">
        <f>IF(+B44="Sr Citizen",ROUND(IF(E44&gt;1000000,(((E44-1000000)*0.3)+110000),IF(E44&gt;500000,(((E44-500000)*0.2)+10000),IF(E44&gt;300000,((E44-300000)*0.05),0))),0),ROUND(IF(E44&gt;1000000,(((E44-1000000)*0.3)+112500),IF(E44&gt;500000,(((E44-500000)*0.2)+12500),IF(E44&gt;250000,((E44-250000)*0.05),0))),0))</f>
        <v>65800</v>
      </c>
      <c r="I44" s="69">
        <f>ROUND(IF(I42&gt;1500000,(I42-1500000)*30%+187500,IF(I42&gt;1250000,(I42-1250000)*25%+125000,IF(I42&gt;1000000,(I42-1000000)*20%+75000,IF(I42&gt;750000,(I42-750000)*15%+37500,IF(I42&gt;500000,(I42-500000)*10%+12500, IF(I42&gt;250000,(I42-250000)*5%,0)))))),0)</f>
        <v>75300</v>
      </c>
      <c r="K44" s="73" t="s">
        <v>54</v>
      </c>
      <c r="L44" s="70">
        <v>0.2</v>
      </c>
      <c r="M44" s="70">
        <v>0.1</v>
      </c>
    </row>
    <row r="45" spans="1:13" ht="15" customHeight="1" x14ac:dyDescent="0.25">
      <c r="A45" s="17"/>
      <c r="B45" s="74"/>
      <c r="C45" s="37" t="s">
        <v>55</v>
      </c>
      <c r="E45" s="72"/>
      <c r="F45" s="70"/>
      <c r="G45" s="70"/>
      <c r="H45" s="69">
        <f>ROUND(E45*F45,0)</f>
        <v>0</v>
      </c>
      <c r="I45" s="69">
        <f>+H45</f>
        <v>0</v>
      </c>
      <c r="K45" s="73" t="s">
        <v>56</v>
      </c>
      <c r="L45" s="70">
        <v>0.2</v>
      </c>
      <c r="M45" s="70">
        <v>0.15</v>
      </c>
    </row>
    <row r="46" spans="1:13" ht="15" customHeight="1" x14ac:dyDescent="0.25">
      <c r="A46" s="17"/>
      <c r="B46" s="37" t="s">
        <v>57</v>
      </c>
      <c r="D46" s="75"/>
      <c r="E46" s="6"/>
      <c r="G46" s="67"/>
      <c r="H46" s="69">
        <f>(IF(H42&gt;500000,0,IF((H44+H45)&gt;12500,12500,(H44+H45))))*-1</f>
        <v>0</v>
      </c>
      <c r="I46" s="69">
        <f>(IF(I42&gt;500000,0,IF((I44+I45)&gt;12500,12500,(I44+I45))))*-1</f>
        <v>0</v>
      </c>
      <c r="K46" s="73" t="s">
        <v>58</v>
      </c>
      <c r="L46" s="70">
        <v>0.3</v>
      </c>
      <c r="M46" s="70">
        <v>0.2</v>
      </c>
    </row>
    <row r="47" spans="1:13" ht="15" customHeight="1" thickBot="1" x14ac:dyDescent="0.3">
      <c r="A47" s="17"/>
      <c r="B47" s="37" t="s">
        <v>59</v>
      </c>
      <c r="C47" s="37"/>
      <c r="D47" s="75"/>
      <c r="E47" s="6"/>
      <c r="G47" s="76"/>
      <c r="H47" s="77">
        <f>IF(H42&gt;10000000,(H44+H45)*15%,IF(H44&gt;5000000,(H44+H45)*10%,0))</f>
        <v>0</v>
      </c>
      <c r="I47" s="77">
        <f>IF(I42&gt;10000000,(I44+I45)*15%,IF(I44&gt;5000000,(I44+I45)*10%,0))</f>
        <v>0</v>
      </c>
      <c r="K47" s="73" t="s">
        <v>60</v>
      </c>
      <c r="L47" s="70">
        <v>0.3</v>
      </c>
      <c r="M47" s="70">
        <v>0.25</v>
      </c>
    </row>
    <row r="48" spans="1:13" ht="15" customHeight="1" x14ac:dyDescent="0.25">
      <c r="A48" s="17"/>
      <c r="C48" s="37"/>
      <c r="D48" s="75"/>
      <c r="E48" s="6"/>
      <c r="G48" s="76"/>
      <c r="H48" s="78">
        <f>SUM(H44:H47)</f>
        <v>65800</v>
      </c>
      <c r="I48" s="78">
        <f>SUM(I44:I47)</f>
        <v>75300</v>
      </c>
      <c r="K48" s="73" t="s">
        <v>60</v>
      </c>
      <c r="L48" s="70">
        <v>0.3</v>
      </c>
      <c r="M48" s="70">
        <v>0.25</v>
      </c>
    </row>
    <row r="49" spans="1:13" ht="15" customHeight="1" x14ac:dyDescent="0.25">
      <c r="A49" s="17"/>
      <c r="B49" s="37" t="s">
        <v>61</v>
      </c>
      <c r="D49" s="75"/>
      <c r="E49" s="6"/>
      <c r="G49" s="6"/>
      <c r="H49" s="79">
        <f>ROUND((H48)*0.04,0)</f>
        <v>2632</v>
      </c>
      <c r="I49" s="79">
        <f>ROUND((I48)*0.04,0)</f>
        <v>3012</v>
      </c>
      <c r="K49" s="56" t="s">
        <v>62</v>
      </c>
      <c r="L49" s="70">
        <v>0.3</v>
      </c>
      <c r="M49" s="70">
        <v>0.3</v>
      </c>
    </row>
    <row r="50" spans="1:13" ht="15" customHeight="1" x14ac:dyDescent="0.25">
      <c r="A50" s="17"/>
      <c r="B50" s="30" t="s">
        <v>63</v>
      </c>
      <c r="D50" s="75"/>
      <c r="E50" s="62"/>
      <c r="G50" s="6"/>
      <c r="H50" s="58">
        <f>SUM(H48:H49)</f>
        <v>68432</v>
      </c>
      <c r="I50" s="58">
        <f>SUM(I48:I49)</f>
        <v>78312</v>
      </c>
      <c r="K50" s="37"/>
      <c r="L50" s="37"/>
      <c r="M50" s="37"/>
    </row>
    <row r="51" spans="1:13" ht="15" customHeight="1" x14ac:dyDescent="0.25">
      <c r="A51" s="17"/>
      <c r="B51" s="80" t="s">
        <v>64</v>
      </c>
      <c r="D51" s="75"/>
      <c r="E51" s="62"/>
      <c r="G51" s="6"/>
      <c r="H51" s="78">
        <f>+H66</f>
        <v>1077</v>
      </c>
      <c r="I51" s="58"/>
      <c r="K51" s="37"/>
      <c r="L51" s="37"/>
      <c r="M51" s="37"/>
    </row>
    <row r="52" spans="1:13" ht="15" customHeight="1" x14ac:dyDescent="0.25">
      <c r="A52" s="17"/>
      <c r="B52" s="81" t="s">
        <v>65</v>
      </c>
      <c r="C52" s="6"/>
      <c r="D52" s="6"/>
      <c r="E52" s="6"/>
      <c r="F52" s="73" t="s">
        <v>66</v>
      </c>
      <c r="G52" s="6"/>
      <c r="H52" s="82">
        <v>5000</v>
      </c>
      <c r="I52" s="83"/>
      <c r="K52" s="56"/>
      <c r="L52" s="37"/>
      <c r="M52" s="37"/>
    </row>
    <row r="53" spans="1:13" ht="15" customHeight="1" x14ac:dyDescent="0.25">
      <c r="A53" s="17"/>
      <c r="B53" s="30" t="s">
        <v>67</v>
      </c>
      <c r="C53" s="6"/>
      <c r="D53" s="6"/>
      <c r="E53" s="6"/>
      <c r="F53" s="6"/>
      <c r="G53" s="6"/>
      <c r="H53" s="16">
        <f>H50+H52+H51</f>
        <v>74509</v>
      </c>
      <c r="I53" s="84">
        <f>I50+I52</f>
        <v>78312</v>
      </c>
      <c r="K53" s="65"/>
    </row>
    <row r="54" spans="1:13" ht="15" customHeight="1" x14ac:dyDescent="0.25">
      <c r="A54" s="17"/>
      <c r="B54" s="30" t="s">
        <v>68</v>
      </c>
      <c r="C54" s="6"/>
      <c r="D54" s="6"/>
      <c r="E54" s="6"/>
      <c r="F54" s="6"/>
      <c r="G54" s="6"/>
      <c r="H54" s="16"/>
      <c r="I54" s="84"/>
      <c r="K54" s="56"/>
    </row>
    <row r="55" spans="1:13" ht="15" customHeight="1" x14ac:dyDescent="0.3">
      <c r="A55" s="17"/>
      <c r="B55" s="85">
        <v>44175</v>
      </c>
      <c r="C55" s="174" t="s">
        <v>69</v>
      </c>
      <c r="D55" s="174"/>
      <c r="E55" s="6"/>
      <c r="F55" s="6"/>
      <c r="G55" s="45">
        <v>10000</v>
      </c>
      <c r="H55" s="16"/>
      <c r="I55" s="84"/>
      <c r="K55" s="56"/>
    </row>
    <row r="56" spans="1:13" ht="15" customHeight="1" x14ac:dyDescent="0.3">
      <c r="A56" s="17"/>
      <c r="B56" s="86"/>
      <c r="C56" s="174" t="s">
        <v>70</v>
      </c>
      <c r="D56" s="174"/>
      <c r="E56" s="87"/>
      <c r="F56" s="87"/>
      <c r="G56" s="45">
        <v>5000</v>
      </c>
      <c r="H56" s="16"/>
      <c r="I56" s="84"/>
      <c r="K56" s="73"/>
    </row>
    <row r="57" spans="1:13" ht="15" customHeight="1" x14ac:dyDescent="0.3">
      <c r="A57" s="17"/>
      <c r="B57" s="86"/>
      <c r="C57" s="174" t="s">
        <v>71</v>
      </c>
      <c r="D57" s="174"/>
      <c r="E57" s="87"/>
      <c r="F57" s="87"/>
      <c r="G57" s="45">
        <v>48000</v>
      </c>
      <c r="H57" s="16"/>
      <c r="I57" s="84"/>
      <c r="K57" s="73"/>
    </row>
    <row r="58" spans="1:13" ht="15" customHeight="1" thickBot="1" x14ac:dyDescent="0.35">
      <c r="A58" s="88"/>
      <c r="B58" s="89">
        <v>44610</v>
      </c>
      <c r="C58" s="175" t="s">
        <v>72</v>
      </c>
      <c r="D58" s="175"/>
      <c r="E58" s="175"/>
      <c r="F58" s="175"/>
      <c r="G58" s="90">
        <v>11510</v>
      </c>
      <c r="H58" s="91">
        <f>SUM(G55:G58)</f>
        <v>74510</v>
      </c>
      <c r="I58" s="92">
        <f>+H58</f>
        <v>74510</v>
      </c>
      <c r="K58" s="73"/>
    </row>
    <row r="59" spans="1:13" ht="17.25" customHeight="1" thickBot="1" x14ac:dyDescent="0.3">
      <c r="A59" s="93"/>
      <c r="B59" s="94" t="str">
        <f>IF(H59=0,"TAX  PAYABLE / REFUND ",IF(H59&lt;0,"REFUND","TAX  PAYABLE"))</f>
        <v xml:space="preserve">TAX  PAYABLE / REFUND </v>
      </c>
      <c r="C59" s="95"/>
      <c r="D59" s="95"/>
      <c r="E59" s="96"/>
      <c r="F59" s="97" t="s">
        <v>73</v>
      </c>
      <c r="G59" s="96"/>
      <c r="H59" s="91">
        <f>H53-H58+1</f>
        <v>0</v>
      </c>
      <c r="I59" s="92">
        <f>ROUND((I53-I58)/10,0)*10</f>
        <v>3800</v>
      </c>
      <c r="K59" s="73"/>
    </row>
    <row r="60" spans="1:13" s="40" customFormat="1" ht="15" customHeight="1" x14ac:dyDescent="0.2">
      <c r="A60" s="98"/>
      <c r="B60" s="99"/>
      <c r="I60" s="100"/>
      <c r="K60" s="56"/>
    </row>
    <row r="61" spans="1:13" s="102" customFormat="1" ht="13.2" x14ac:dyDescent="0.25">
      <c r="A61" s="101"/>
      <c r="C61" s="103" t="s">
        <v>74</v>
      </c>
      <c r="E61" s="104"/>
      <c r="F61" s="104"/>
      <c r="G61" s="104"/>
      <c r="H61" s="105"/>
      <c r="I61" s="104"/>
      <c r="J61" s="1"/>
    </row>
    <row r="62" spans="1:13" s="102" customFormat="1" ht="13.2" x14ac:dyDescent="0.25">
      <c r="A62" s="101"/>
      <c r="C62" s="103" t="s">
        <v>75</v>
      </c>
      <c r="E62" s="104"/>
      <c r="F62" s="104"/>
      <c r="G62" s="104"/>
      <c r="H62" s="105"/>
      <c r="I62" s="104"/>
      <c r="J62" s="1"/>
    </row>
    <row r="63" spans="1:13" s="102" customFormat="1" ht="13.2" x14ac:dyDescent="0.25">
      <c r="A63" s="101"/>
      <c r="C63" s="103" t="s">
        <v>76</v>
      </c>
      <c r="E63" s="104"/>
      <c r="F63" s="104"/>
      <c r="G63" s="104"/>
      <c r="H63" s="105"/>
      <c r="I63" s="104"/>
      <c r="J63" s="106"/>
    </row>
    <row r="64" spans="1:13" s="102" customFormat="1" ht="13.2" x14ac:dyDescent="0.25">
      <c r="A64" s="101"/>
      <c r="C64" s="107" t="s">
        <v>77</v>
      </c>
      <c r="E64" s="104"/>
      <c r="F64" s="104"/>
      <c r="G64" s="104"/>
      <c r="H64" s="105"/>
      <c r="I64" s="104"/>
      <c r="J64" s="106"/>
    </row>
    <row r="65" spans="1:11" s="102" customFormat="1" ht="13.2" x14ac:dyDescent="0.25">
      <c r="A65" s="101"/>
      <c r="B65" s="101"/>
      <c r="E65" s="104"/>
      <c r="F65" s="104"/>
      <c r="G65" s="104"/>
      <c r="H65" s="105"/>
      <c r="I65" s="104"/>
    </row>
    <row r="66" spans="1:11" s="102" customFormat="1" ht="13.2" x14ac:dyDescent="0.25">
      <c r="A66" s="101"/>
      <c r="B66" s="108" t="s">
        <v>78</v>
      </c>
      <c r="C66" s="109"/>
      <c r="D66" s="109"/>
      <c r="E66" s="109"/>
      <c r="F66" s="109"/>
      <c r="G66" s="110" t="s">
        <v>79</v>
      </c>
      <c r="H66" s="111">
        <f>H78+H93+H103</f>
        <v>1077</v>
      </c>
      <c r="I66" s="104"/>
    </row>
    <row r="67" spans="1:11" s="102" customFormat="1" ht="13.2" x14ac:dyDescent="0.25">
      <c r="A67" s="101"/>
      <c r="B67" s="112" t="s">
        <v>80</v>
      </c>
      <c r="C67" s="113"/>
      <c r="D67" s="113"/>
      <c r="E67" s="113"/>
      <c r="F67" s="113"/>
      <c r="G67" s="114"/>
      <c r="H67" s="115"/>
      <c r="I67" s="104"/>
    </row>
    <row r="68" spans="1:11" s="102" customFormat="1" ht="13.2" x14ac:dyDescent="0.25">
      <c r="A68" s="101"/>
      <c r="B68" s="116" t="s">
        <v>81</v>
      </c>
      <c r="C68" s="113"/>
      <c r="D68" s="113"/>
      <c r="E68" s="117">
        <f>+H50</f>
        <v>68432</v>
      </c>
      <c r="F68" s="106"/>
      <c r="H68" s="106"/>
    </row>
    <row r="69" spans="1:11" s="102" customFormat="1" ht="13.2" x14ac:dyDescent="0.25">
      <c r="A69" s="101"/>
      <c r="B69" s="116" t="s">
        <v>82</v>
      </c>
      <c r="C69" s="113"/>
      <c r="D69" s="113"/>
      <c r="E69" s="117">
        <f>(+G56+G57)*-1</f>
        <v>-53000</v>
      </c>
      <c r="F69" s="118"/>
      <c r="H69" s="106"/>
      <c r="I69" s="104"/>
    </row>
    <row r="70" spans="1:11" s="102" customFormat="1" ht="13.8" thickBot="1" x14ac:dyDescent="0.3">
      <c r="A70" s="101"/>
      <c r="B70" s="116" t="s">
        <v>83</v>
      </c>
      <c r="C70" s="113"/>
      <c r="D70" s="119"/>
      <c r="E70" s="120">
        <f>E68+E69</f>
        <v>15432</v>
      </c>
      <c r="F70" s="118"/>
      <c r="G70" s="119"/>
      <c r="H70" s="106"/>
      <c r="I70" s="104"/>
    </row>
    <row r="71" spans="1:11" s="102" customFormat="1" ht="13.8" thickTop="1" x14ac:dyDescent="0.25">
      <c r="A71" s="101"/>
      <c r="B71" s="121"/>
      <c r="C71" s="113"/>
      <c r="D71" s="113"/>
      <c r="E71" s="122">
        <f>IF(E70&gt;10000,E70,0)</f>
        <v>15432</v>
      </c>
      <c r="F71" s="121"/>
      <c r="G71" s="113"/>
      <c r="H71" s="121"/>
      <c r="I71" s="104"/>
    </row>
    <row r="72" spans="1:11" s="118" customFormat="1" ht="25.5" customHeight="1" x14ac:dyDescent="0.25">
      <c r="A72" s="123"/>
      <c r="B72" s="124" t="s">
        <v>84</v>
      </c>
      <c r="C72" s="124" t="s">
        <v>85</v>
      </c>
      <c r="D72" s="124" t="s">
        <v>86</v>
      </c>
      <c r="E72" s="124" t="s">
        <v>87</v>
      </c>
      <c r="F72" s="125" t="s">
        <v>88</v>
      </c>
      <c r="G72" s="126" t="s">
        <v>89</v>
      </c>
      <c r="H72" s="124" t="s">
        <v>90</v>
      </c>
      <c r="I72" s="104"/>
      <c r="J72" s="102"/>
      <c r="K72" s="102"/>
    </row>
    <row r="73" spans="1:11" s="118" customFormat="1" ht="15" customHeight="1" x14ac:dyDescent="0.25">
      <c r="A73" s="127">
        <v>1</v>
      </c>
      <c r="B73" s="128"/>
      <c r="C73" s="129"/>
      <c r="D73" s="128">
        <v>43997</v>
      </c>
      <c r="E73" s="117">
        <f>E71*0.15</f>
        <v>2314.7999999999997</v>
      </c>
      <c r="F73" s="117">
        <f>ROUNDDOWN(+E73,-2)</f>
        <v>2300</v>
      </c>
      <c r="G73" s="117">
        <f>(F73-C73)</f>
        <v>2300</v>
      </c>
      <c r="H73" s="130">
        <f>IF(G73&gt;0,G73*0.12/12*3,0)</f>
        <v>69</v>
      </c>
      <c r="I73" s="104"/>
      <c r="J73" s="102"/>
      <c r="K73" s="102"/>
    </row>
    <row r="74" spans="1:11" s="118" customFormat="1" ht="15" customHeight="1" x14ac:dyDescent="0.25">
      <c r="A74" s="127">
        <v>2</v>
      </c>
      <c r="B74" s="131"/>
      <c r="C74" s="129"/>
      <c r="D74" s="128">
        <v>44089</v>
      </c>
      <c r="E74" s="117">
        <f>E71*0.45</f>
        <v>6944.4000000000005</v>
      </c>
      <c r="F74" s="117">
        <f>ROUNDDOWN(+E74,-2)</f>
        <v>6900</v>
      </c>
      <c r="G74" s="117">
        <f>(F74-C74-C73)</f>
        <v>6900</v>
      </c>
      <c r="H74" s="130">
        <f>IF(G74&gt;0,G74*0.12/12*3,0)</f>
        <v>207</v>
      </c>
      <c r="I74" s="104"/>
      <c r="J74" s="102"/>
      <c r="K74" s="102"/>
    </row>
    <row r="75" spans="1:11" s="118" customFormat="1" ht="15" customHeight="1" x14ac:dyDescent="0.25">
      <c r="A75" s="127">
        <v>3</v>
      </c>
      <c r="B75" s="128">
        <v>44175</v>
      </c>
      <c r="C75" s="129">
        <v>10000</v>
      </c>
      <c r="D75" s="128">
        <v>44180</v>
      </c>
      <c r="E75" s="117">
        <f>E71*0.75</f>
        <v>11574</v>
      </c>
      <c r="F75" s="117">
        <f>ROUNDDOWN(+E75,-2)</f>
        <v>11500</v>
      </c>
      <c r="G75" s="132">
        <f>(F75-(C73+C74+C75))</f>
        <v>1500</v>
      </c>
      <c r="H75" s="130">
        <f>IF(G75&gt;0,G75*0.12/12*3,0)</f>
        <v>45</v>
      </c>
      <c r="I75" s="104"/>
      <c r="J75" s="102"/>
      <c r="K75" s="102"/>
    </row>
    <row r="76" spans="1:11" s="118" customFormat="1" ht="15" customHeight="1" x14ac:dyDescent="0.25">
      <c r="A76" s="127">
        <v>4</v>
      </c>
      <c r="B76" s="128"/>
      <c r="C76" s="129"/>
      <c r="D76" s="128">
        <v>44270</v>
      </c>
      <c r="E76" s="117">
        <f>+E70</f>
        <v>15432</v>
      </c>
      <c r="F76" s="117">
        <f>ROUNDDOWN(+E76,-2)</f>
        <v>15400</v>
      </c>
      <c r="G76" s="132">
        <f>(F76-(C73+C74+C75+C76))</f>
        <v>5400</v>
      </c>
      <c r="H76" s="130">
        <f>IF(G76&gt;0,G76*0.12/12,0)</f>
        <v>54</v>
      </c>
      <c r="I76" s="104"/>
      <c r="J76" s="102"/>
      <c r="K76" s="102"/>
    </row>
    <row r="77" spans="1:11" s="118" customFormat="1" ht="15" customHeight="1" x14ac:dyDescent="0.25">
      <c r="A77" s="127">
        <v>5</v>
      </c>
      <c r="B77" s="128"/>
      <c r="C77" s="129"/>
      <c r="D77" s="128">
        <v>44286</v>
      </c>
      <c r="F77" s="133"/>
      <c r="G77" s="133"/>
      <c r="H77" s="134"/>
      <c r="I77" s="104"/>
      <c r="J77" s="102"/>
      <c r="K77" s="102"/>
    </row>
    <row r="78" spans="1:11" s="118" customFormat="1" ht="15" customHeight="1" thickBot="1" x14ac:dyDescent="0.3">
      <c r="A78" s="123"/>
      <c r="B78" s="104"/>
      <c r="C78" s="135">
        <f>SUM(C73:C77)</f>
        <v>10000</v>
      </c>
      <c r="D78" s="104"/>
      <c r="E78" s="104"/>
      <c r="F78" s="104"/>
      <c r="G78" s="104"/>
      <c r="H78" s="136">
        <f>SUM(H73:H77)</f>
        <v>375</v>
      </c>
      <c r="I78" s="104"/>
      <c r="J78" s="102"/>
      <c r="K78" s="102"/>
    </row>
    <row r="79" spans="1:11" s="118" customFormat="1" ht="15" customHeight="1" thickTop="1" thickBot="1" x14ac:dyDescent="0.3">
      <c r="A79" s="137"/>
      <c r="B79" s="138"/>
      <c r="C79" s="139"/>
      <c r="D79" s="138"/>
      <c r="E79" s="138"/>
      <c r="F79" s="138"/>
      <c r="G79" s="138"/>
      <c r="H79" s="140" t="s">
        <v>91</v>
      </c>
      <c r="I79" s="104"/>
      <c r="J79" s="102"/>
      <c r="K79" s="102"/>
    </row>
    <row r="80" spans="1:11" s="118" customFormat="1" ht="15" customHeight="1" x14ac:dyDescent="0.25">
      <c r="A80" s="123"/>
      <c r="B80" s="141" t="s">
        <v>92</v>
      </c>
      <c r="C80" s="142"/>
      <c r="D80" s="104"/>
      <c r="E80" s="104"/>
      <c r="F80" s="104"/>
      <c r="G80" s="104"/>
      <c r="H80" s="143" t="s">
        <v>90</v>
      </c>
      <c r="I80" s="104"/>
      <c r="J80" s="102"/>
      <c r="K80" s="102"/>
    </row>
    <row r="81" spans="1:10" s="118" customFormat="1" ht="15" customHeight="1" x14ac:dyDescent="0.2">
      <c r="A81" s="123"/>
      <c r="B81" s="104" t="s">
        <v>81</v>
      </c>
      <c r="C81" s="104"/>
      <c r="D81" s="104"/>
      <c r="E81" s="117">
        <f>+E68</f>
        <v>68432</v>
      </c>
      <c r="F81" s="104"/>
      <c r="G81" s="144">
        <v>44287</v>
      </c>
      <c r="H81" s="130">
        <f>$F$87*0.01</f>
        <v>54</v>
      </c>
      <c r="J81" s="145"/>
    </row>
    <row r="82" spans="1:10" s="118" customFormat="1" ht="15" customHeight="1" x14ac:dyDescent="0.2">
      <c r="A82" s="123"/>
      <c r="B82" s="116" t="s">
        <v>82</v>
      </c>
      <c r="C82" s="104"/>
      <c r="D82" s="104"/>
      <c r="E82" s="117">
        <f>+E69</f>
        <v>-53000</v>
      </c>
      <c r="F82" s="104"/>
      <c r="G82" s="144">
        <v>44317</v>
      </c>
      <c r="H82" s="130">
        <f t="shared" ref="H82:H91" si="0">$F$87*0.01</f>
        <v>54</v>
      </c>
      <c r="J82" s="145"/>
    </row>
    <row r="83" spans="1:10" s="118" customFormat="1" ht="15" customHeight="1" thickBot="1" x14ac:dyDescent="0.25">
      <c r="A83" s="123"/>
      <c r="B83" s="146"/>
      <c r="C83" s="104"/>
      <c r="D83" s="104"/>
      <c r="E83" s="120">
        <f>E81+E82</f>
        <v>15432</v>
      </c>
      <c r="G83" s="144">
        <v>44348</v>
      </c>
      <c r="H83" s="130">
        <f t="shared" si="0"/>
        <v>54</v>
      </c>
      <c r="J83" s="145"/>
    </row>
    <row r="84" spans="1:10" s="118" customFormat="1" ht="15" customHeight="1" thickTop="1" x14ac:dyDescent="0.2">
      <c r="A84" s="123"/>
      <c r="F84" s="104"/>
      <c r="G84" s="144">
        <v>44378</v>
      </c>
      <c r="H84" s="130">
        <f t="shared" si="0"/>
        <v>54</v>
      </c>
      <c r="J84" s="145"/>
    </row>
    <row r="85" spans="1:10" s="118" customFormat="1" ht="15" customHeight="1" x14ac:dyDescent="0.2">
      <c r="A85" s="123"/>
      <c r="B85" s="104" t="s">
        <v>93</v>
      </c>
      <c r="C85" s="142"/>
      <c r="D85" s="147">
        <v>0.9</v>
      </c>
      <c r="E85" s="148">
        <f>ROUND(E83*90%,0)</f>
        <v>13889</v>
      </c>
      <c r="F85" s="104"/>
      <c r="G85" s="144">
        <v>44409</v>
      </c>
      <c r="H85" s="130">
        <f t="shared" si="0"/>
        <v>54</v>
      </c>
    </row>
    <row r="86" spans="1:10" s="118" customFormat="1" ht="15" customHeight="1" x14ac:dyDescent="0.2">
      <c r="A86" s="123"/>
      <c r="B86" s="104" t="s">
        <v>94</v>
      </c>
      <c r="C86" s="142"/>
      <c r="D86" s="104"/>
      <c r="E86" s="149">
        <v>10000</v>
      </c>
      <c r="F86" s="104"/>
      <c r="G86" s="144">
        <v>44440</v>
      </c>
      <c r="H86" s="130">
        <f t="shared" si="0"/>
        <v>54</v>
      </c>
    </row>
    <row r="87" spans="1:10" s="118" customFormat="1" ht="15" customHeight="1" x14ac:dyDescent="0.2">
      <c r="A87" s="123"/>
      <c r="B87" s="118" t="s">
        <v>95</v>
      </c>
      <c r="C87" s="142"/>
      <c r="D87" s="104"/>
      <c r="E87" s="117">
        <f>E83-E86</f>
        <v>5432</v>
      </c>
      <c r="F87" s="117">
        <f>ROUNDDOWN(E87,-2)</f>
        <v>5400</v>
      </c>
      <c r="G87" s="144">
        <v>44470</v>
      </c>
      <c r="H87" s="130">
        <f t="shared" si="0"/>
        <v>54</v>
      </c>
    </row>
    <row r="88" spans="1:10" s="118" customFormat="1" ht="15" customHeight="1" x14ac:dyDescent="0.2">
      <c r="A88" s="123"/>
      <c r="B88" s="150"/>
      <c r="C88" s="104" t="s">
        <v>96</v>
      </c>
      <c r="D88" s="104"/>
      <c r="E88" s="151"/>
      <c r="F88" s="104"/>
      <c r="G88" s="144">
        <v>44501</v>
      </c>
      <c r="H88" s="130">
        <f t="shared" si="0"/>
        <v>54</v>
      </c>
    </row>
    <row r="89" spans="1:10" s="118" customFormat="1" ht="15" customHeight="1" x14ac:dyDescent="0.2">
      <c r="A89" s="123"/>
      <c r="C89" s="152" t="s">
        <v>97</v>
      </c>
      <c r="E89" s="151"/>
      <c r="F89" s="104"/>
      <c r="G89" s="144">
        <v>44531</v>
      </c>
      <c r="H89" s="130">
        <f t="shared" si="0"/>
        <v>54</v>
      </c>
    </row>
    <row r="90" spans="1:10" s="118" customFormat="1" ht="15" customHeight="1" x14ac:dyDescent="0.2">
      <c r="A90" s="123"/>
      <c r="C90" s="104" t="s">
        <v>98</v>
      </c>
      <c r="E90" s="151">
        <f>E88-E89</f>
        <v>0</v>
      </c>
      <c r="F90" s="104"/>
      <c r="G90" s="144">
        <v>44562</v>
      </c>
      <c r="H90" s="130">
        <f t="shared" si="0"/>
        <v>54</v>
      </c>
    </row>
    <row r="91" spans="1:10" s="118" customFormat="1" ht="15" customHeight="1" x14ac:dyDescent="0.2">
      <c r="A91" s="123"/>
      <c r="B91" s="118" t="s">
        <v>99</v>
      </c>
      <c r="C91" s="104"/>
      <c r="E91" s="153">
        <f>E87-E90</f>
        <v>5432</v>
      </c>
      <c r="F91" s="117">
        <f>ROUNDDOWN(E91,-2)</f>
        <v>5400</v>
      </c>
      <c r="G91" s="144">
        <v>44593</v>
      </c>
      <c r="H91" s="130">
        <f t="shared" si="0"/>
        <v>54</v>
      </c>
    </row>
    <row r="92" spans="1:10" s="118" customFormat="1" ht="15" customHeight="1" x14ac:dyDescent="0.2">
      <c r="A92" s="123"/>
      <c r="C92" s="104"/>
      <c r="E92" s="151"/>
      <c r="F92" s="104"/>
      <c r="G92" s="144">
        <v>44621</v>
      </c>
      <c r="H92" s="130"/>
    </row>
    <row r="93" spans="1:10" s="118" customFormat="1" ht="15" customHeight="1" thickBot="1" x14ac:dyDescent="0.25">
      <c r="A93" s="123"/>
      <c r="C93" s="104"/>
      <c r="E93" s="151"/>
      <c r="F93" s="104"/>
      <c r="G93" s="144"/>
      <c r="H93" s="154">
        <f>SUM(H81:H92)</f>
        <v>594</v>
      </c>
    </row>
    <row r="94" spans="1:10" s="118" customFormat="1" ht="15" customHeight="1" thickTop="1" thickBot="1" x14ac:dyDescent="0.25">
      <c r="A94" s="137"/>
      <c r="B94" s="155"/>
      <c r="C94" s="138"/>
      <c r="D94" s="155"/>
      <c r="E94" s="156"/>
      <c r="F94" s="157"/>
      <c r="G94" s="138"/>
      <c r="H94" s="140" t="s">
        <v>91</v>
      </c>
    </row>
    <row r="95" spans="1:10" s="118" customFormat="1" ht="15" customHeight="1" x14ac:dyDescent="0.2">
      <c r="A95" s="123"/>
      <c r="B95" s="141" t="s">
        <v>100</v>
      </c>
      <c r="C95" s="158"/>
      <c r="D95" s="158"/>
      <c r="E95" s="158"/>
      <c r="F95" s="158"/>
      <c r="G95" s="158"/>
      <c r="H95" s="158"/>
    </row>
    <row r="96" spans="1:10" s="118" customFormat="1" ht="15" customHeight="1" x14ac:dyDescent="0.2">
      <c r="A96" s="123"/>
      <c r="B96" s="104" t="s">
        <v>81</v>
      </c>
      <c r="C96" s="104"/>
      <c r="D96" s="104"/>
      <c r="E96" s="117">
        <f>+E81</f>
        <v>68432</v>
      </c>
      <c r="F96" s="158"/>
      <c r="G96" s="104"/>
      <c r="H96" s="143" t="s">
        <v>90</v>
      </c>
    </row>
    <row r="97" spans="1:11" s="118" customFormat="1" ht="15" customHeight="1" x14ac:dyDescent="0.2">
      <c r="A97" s="123"/>
      <c r="B97" s="146" t="s">
        <v>101</v>
      </c>
      <c r="C97" s="104"/>
      <c r="D97" s="104"/>
      <c r="E97" s="117">
        <f>+E69</f>
        <v>-53000</v>
      </c>
      <c r="F97" s="158"/>
      <c r="G97" s="144"/>
    </row>
    <row r="98" spans="1:11" s="118" customFormat="1" ht="15" customHeight="1" x14ac:dyDescent="0.2">
      <c r="A98" s="123"/>
      <c r="B98" s="159" t="s">
        <v>102</v>
      </c>
      <c r="C98" s="104"/>
      <c r="D98" s="104"/>
      <c r="E98" s="117">
        <f>10000*-1</f>
        <v>-10000</v>
      </c>
      <c r="F98" s="158"/>
      <c r="G98" s="144"/>
      <c r="H98" s="130"/>
    </row>
    <row r="99" spans="1:11" s="118" customFormat="1" ht="15" customHeight="1" x14ac:dyDescent="0.2">
      <c r="A99" s="123"/>
      <c r="B99" s="146" t="s">
        <v>103</v>
      </c>
      <c r="C99" s="104"/>
      <c r="D99" s="104"/>
      <c r="E99" s="160"/>
      <c r="F99" s="158"/>
      <c r="G99" s="144"/>
      <c r="H99" s="130"/>
    </row>
    <row r="100" spans="1:11" s="118" customFormat="1" ht="15" customHeight="1" x14ac:dyDescent="0.2">
      <c r="A100" s="123"/>
      <c r="B100" s="146" t="s">
        <v>104</v>
      </c>
      <c r="C100" s="104"/>
      <c r="D100" s="104"/>
      <c r="E100" s="160"/>
      <c r="F100" s="158"/>
      <c r="G100" s="144">
        <v>44562</v>
      </c>
      <c r="H100" s="130">
        <f>$F$102*1%</f>
        <v>54</v>
      </c>
    </row>
    <row r="101" spans="1:11" s="118" customFormat="1" ht="15" customHeight="1" x14ac:dyDescent="0.2">
      <c r="A101" s="123"/>
      <c r="B101" s="159" t="s">
        <v>105</v>
      </c>
      <c r="C101" s="104"/>
      <c r="D101" s="104"/>
      <c r="E101" s="160"/>
      <c r="F101" s="158"/>
      <c r="G101" s="144">
        <v>44593</v>
      </c>
      <c r="H101" s="130">
        <f>$F$102*1%</f>
        <v>54</v>
      </c>
    </row>
    <row r="102" spans="1:11" s="118" customFormat="1" ht="15" customHeight="1" thickBot="1" x14ac:dyDescent="0.25">
      <c r="A102" s="123"/>
      <c r="E102" s="120">
        <f>SUM(E96:E101)</f>
        <v>5432</v>
      </c>
      <c r="F102" s="117">
        <f>ROUNDDOWN(E102,-2)</f>
        <v>5400</v>
      </c>
      <c r="G102" s="144">
        <v>44621</v>
      </c>
      <c r="H102" s="130"/>
    </row>
    <row r="103" spans="1:11" s="102" customFormat="1" ht="14.4" thickTop="1" thickBot="1" x14ac:dyDescent="0.3">
      <c r="A103" s="161"/>
      <c r="H103" s="154">
        <f>SUM(H98:H102)</f>
        <v>108</v>
      </c>
      <c r="I103" s="118"/>
      <c r="J103" s="118"/>
      <c r="K103" s="118"/>
    </row>
    <row r="104" spans="1:11" s="102" customFormat="1" ht="13.8" thickTop="1" x14ac:dyDescent="0.25">
      <c r="A104" s="161"/>
      <c r="H104" s="162" t="s">
        <v>91</v>
      </c>
      <c r="I104" s="118"/>
      <c r="J104" s="118"/>
      <c r="K104" s="118"/>
    </row>
    <row r="105" spans="1:11" s="102" customFormat="1" ht="13.8" thickBot="1" x14ac:dyDescent="0.3">
      <c r="A105" s="163"/>
      <c r="B105" s="164"/>
      <c r="C105" s="164"/>
      <c r="D105" s="164"/>
      <c r="E105" s="164"/>
      <c r="F105" s="164"/>
      <c r="G105" s="164"/>
      <c r="H105" s="164"/>
      <c r="I105" s="118"/>
      <c r="J105" s="118"/>
      <c r="K105" s="118"/>
    </row>
    <row r="106" spans="1:11" s="102" customFormat="1" ht="13.8" thickTop="1" x14ac:dyDescent="0.25">
      <c r="A106" s="161"/>
    </row>
    <row r="107" spans="1:11" s="102" customFormat="1" ht="13.2" x14ac:dyDescent="0.25">
      <c r="A107" s="161"/>
      <c r="B107" s="176" t="s">
        <v>106</v>
      </c>
      <c r="C107" s="176"/>
      <c r="D107" s="176"/>
      <c r="E107" s="176"/>
    </row>
    <row r="108" spans="1:11" ht="15" customHeight="1" x14ac:dyDescent="0.25">
      <c r="B108" s="166" t="s">
        <v>107</v>
      </c>
      <c r="C108" s="167"/>
      <c r="E108" s="168">
        <v>885500</v>
      </c>
    </row>
    <row r="109" spans="1:11" ht="15" customHeight="1" x14ac:dyDescent="0.25">
      <c r="B109" s="177" t="s">
        <v>108</v>
      </c>
      <c r="C109" s="177"/>
      <c r="E109" s="168">
        <v>75000</v>
      </c>
    </row>
    <row r="110" spans="1:11" ht="15" customHeight="1" x14ac:dyDescent="0.25">
      <c r="B110" s="177" t="s">
        <v>109</v>
      </c>
      <c r="C110" s="177"/>
      <c r="E110" s="168">
        <f>100000*-1</f>
        <v>-100000</v>
      </c>
      <c r="F110" s="169" t="s">
        <v>110</v>
      </c>
    </row>
    <row r="111" spans="1:11" ht="15" customHeight="1" thickBot="1" x14ac:dyDescent="0.3">
      <c r="B111" s="170" t="s">
        <v>111</v>
      </c>
      <c r="C111" s="171">
        <f>SUM(C108:C110)</f>
        <v>0</v>
      </c>
      <c r="D111" s="172"/>
      <c r="E111" s="173">
        <f>SUM(E108:E110)</f>
        <v>860500</v>
      </c>
    </row>
    <row r="112" spans="1:11" ht="15" customHeight="1" thickTop="1" x14ac:dyDescent="0.25"/>
  </sheetData>
  <mergeCells count="11">
    <mergeCell ref="C56:D56"/>
    <mergeCell ref="A1:I1"/>
    <mergeCell ref="A2:I2"/>
    <mergeCell ref="A3:F3"/>
    <mergeCell ref="A4:F4"/>
    <mergeCell ref="C55:D55"/>
    <mergeCell ref="C57:D57"/>
    <mergeCell ref="C58:F58"/>
    <mergeCell ref="B107:E107"/>
    <mergeCell ref="B109:C109"/>
    <mergeCell ref="B110:C110"/>
  </mergeCells>
  <printOptions horizontalCentered="1" verticalCentered="1"/>
  <pageMargins left="0.19685039370078741" right="0.19685039370078741" top="0.19685039370078741" bottom="0.19685039370078741" header="0" footer="0"/>
  <pageSetup paperSize="9" scale="9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Cals-1</vt:lpstr>
      <vt:lpstr>'Cals-1'!Print_Area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Tax Doctor</dc:creator>
  <cp:lastModifiedBy>Tax Doctor</cp:lastModifiedBy>
  <dcterms:created xsi:type="dcterms:W3CDTF">2022-02-18T22:05:46Z</dcterms:created>
  <dcterms:modified xsi:type="dcterms:W3CDTF">2022-02-18T22:07:39Z</dcterms:modified>
</cp:coreProperties>
</file>