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9545CC9B-C5B7-401D-9C61-EC79634445A7}" xr6:coauthVersionLast="47" xr6:coauthVersionMax="47" xr10:uidLastSave="{00000000-0000-0000-0000-000000000000}"/>
  <bookViews>
    <workbookView xWindow="-108" yWindow="-108" windowWidth="23256" windowHeight="12720" xr2:uid="{2E64E967-C106-41AC-B934-D4CB2C5643C6}"/>
  </bookViews>
  <sheets>
    <sheet name="Cals-3.3" sheetId="1" r:id="rId1"/>
  </sheets>
  <externalReferences>
    <externalReference r:id="rId2"/>
  </externalReferences>
  <definedNames>
    <definedName name="newbasicPB4">[1]Sheet1!$T$4:$T$37</definedName>
    <definedName name="oldbasicPB4">[1]Sheet1!$S$4:$S$37</definedName>
    <definedName name="_xlnm.Print_Area" localSheetId="0">'Cals-3.3'!$A$1:$I$64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1" l="1"/>
  <c r="G122" i="1"/>
  <c r="G121" i="1"/>
  <c r="G125" i="1" s="1"/>
  <c r="G119" i="1"/>
  <c r="G117" i="1"/>
  <c r="D126" i="1" s="1"/>
  <c r="G115" i="1"/>
  <c r="D125" i="1" s="1"/>
  <c r="H110" i="1"/>
  <c r="E105" i="1"/>
  <c r="E97" i="1"/>
  <c r="E98" i="1" s="1"/>
  <c r="F98" i="1" s="1"/>
  <c r="F94" i="1"/>
  <c r="H98" i="1" s="1"/>
  <c r="C85" i="1"/>
  <c r="E76" i="1"/>
  <c r="E89" i="1" s="1"/>
  <c r="G62" i="1"/>
  <c r="G61" i="1"/>
  <c r="H63" i="1" s="1"/>
  <c r="I63" i="1" s="1"/>
  <c r="E48" i="1"/>
  <c r="G48" i="1" s="1"/>
  <c r="I48" i="1" s="1"/>
  <c r="B47" i="1"/>
  <c r="L46" i="1"/>
  <c r="H44" i="1"/>
  <c r="H33" i="1"/>
  <c r="I33" i="1" s="1"/>
  <c r="G28" i="1"/>
  <c r="H28" i="1" s="1"/>
  <c r="I28" i="1" s="1"/>
  <c r="F28" i="1"/>
  <c r="H22" i="1"/>
  <c r="I22" i="1" s="1"/>
  <c r="I21" i="1"/>
  <c r="G19" i="1"/>
  <c r="F20" i="1" s="1"/>
  <c r="G21" i="1" s="1"/>
  <c r="F18" i="1"/>
  <c r="G9" i="1"/>
  <c r="I12" i="1" s="1"/>
  <c r="G5" i="1"/>
  <c r="I37" i="1" l="1"/>
  <c r="I45" i="1" s="1"/>
  <c r="H93" i="1"/>
  <c r="H96" i="1"/>
  <c r="H97" i="1"/>
  <c r="H89" i="1"/>
  <c r="H90" i="1"/>
  <c r="E104" i="1"/>
  <c r="H91" i="1"/>
  <c r="G123" i="1"/>
  <c r="G131" i="1" s="1"/>
  <c r="G136" i="1" s="1"/>
  <c r="H24" i="1" s="1"/>
  <c r="I24" i="1" s="1"/>
  <c r="G11" i="1"/>
  <c r="E49" i="1"/>
  <c r="H92" i="1"/>
  <c r="H94" i="1"/>
  <c r="H95" i="1"/>
  <c r="H88" i="1"/>
  <c r="I51" i="1" l="1"/>
  <c r="J47" i="1"/>
  <c r="I50" i="1"/>
  <c r="H100" i="1"/>
  <c r="G49" i="1"/>
  <c r="J49" i="1"/>
  <c r="G12" i="1"/>
  <c r="H12" i="1" s="1"/>
  <c r="H37" i="1" s="1"/>
  <c r="H45" i="1" s="1"/>
  <c r="E47" i="1" l="1"/>
  <c r="G47" i="1" s="1"/>
  <c r="H47" i="1" s="1"/>
  <c r="H50" i="1"/>
  <c r="H49" i="1"/>
  <c r="I49" i="1"/>
  <c r="I52" i="1" s="1"/>
  <c r="I53" i="1" l="1"/>
  <c r="I54" i="1" s="1"/>
  <c r="I57" i="1" s="1"/>
  <c r="I64" i="1" s="1"/>
  <c r="H51" i="1"/>
  <c r="H52" i="1" s="1"/>
  <c r="H53" i="1" l="1"/>
  <c r="H54" i="1" s="1"/>
  <c r="E75" i="1" l="1"/>
  <c r="E77" i="1" l="1"/>
  <c r="E78" i="1" s="1"/>
  <c r="E88" i="1"/>
  <c r="E103" i="1" l="1"/>
  <c r="E90" i="1"/>
  <c r="E92" i="1" s="1"/>
  <c r="E81" i="1"/>
  <c r="F81" i="1" s="1"/>
  <c r="G81" i="1" s="1"/>
  <c r="H81" i="1" s="1"/>
  <c r="E83" i="1"/>
  <c r="F83" i="1" s="1"/>
  <c r="G83" i="1" s="1"/>
  <c r="H83" i="1" s="1"/>
  <c r="E80" i="1"/>
  <c r="F80" i="1" s="1"/>
  <c r="G80" i="1" s="1"/>
  <c r="H80" i="1" s="1"/>
  <c r="E82" i="1"/>
  <c r="F82" i="1" s="1"/>
  <c r="G82" i="1" s="1"/>
  <c r="H82" i="1" s="1"/>
  <c r="H85" i="1" l="1"/>
  <c r="H73" i="1" s="1"/>
  <c r="H55" i="1" s="1"/>
  <c r="H57" i="1" s="1"/>
  <c r="H64" i="1" s="1"/>
  <c r="B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RATHORE</author>
    <author>rathore's</author>
  </authors>
  <commentList>
    <comment ref="G3" authorId="0" shapeId="0" xr:uid="{9D38A6D1-18C2-4980-A935-33FB1C83111A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 xr:uid="{3B55C95B-2AFD-4181-A227-B264CC93A067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MAX AMT.RS. 20000</t>
        </r>
      </text>
    </comment>
    <comment ref="C42" authorId="0" shapeId="0" xr:uid="{5489464E-5FC6-4225-B55F-16DBF58C8B32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MAX AMT.RS. 20000</t>
        </r>
      </text>
    </comment>
    <comment ref="C43" authorId="0" shapeId="0" xr:uid="{262C6CBF-C257-43B1-B9CA-160C1D011595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DA7D29D7-9BBA-4FBC-BECA-47ECD1F4A420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4" authorId="0" shapeId="0" xr:uid="{0B6DAD79-E91B-4F72-AA10-16BF8349D8D7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7" authorId="0" shapeId="0" xr:uid="{2DC7AC43-B4B3-4D54-AE87-91D5096D5685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" authorId="1" shapeId="0" xr:uid="{B12DD1A5-6DD5-47C7-A289-E138EC727378}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4" authorId="0" shapeId="0" xr:uid="{B258213C-7104-463D-800A-E8F8DEB23203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<sst xmlns="http://schemas.openxmlformats.org/spreadsheetml/2006/main" count="226" uniqueCount="205">
  <si>
    <t>EDFOLIO</t>
  </si>
  <si>
    <t xml:space="preserve">Course:   E-Filing of Tax Returns </t>
  </si>
  <si>
    <t>Fin. Yr.  2020-21 (Assessment Yr.  2021-22)</t>
  </si>
  <si>
    <t>Old Tax Regime</t>
  </si>
  <si>
    <t>New Tax  Regime</t>
  </si>
  <si>
    <t xml:space="preserve">Computation of Income and Tax Paid </t>
  </si>
  <si>
    <r>
      <t xml:space="preserve">SALARIES </t>
    </r>
    <r>
      <rPr>
        <sz val="10"/>
        <color theme="1"/>
        <rFont val="Arial"/>
        <family val="2"/>
      </rPr>
      <t>U/S 15-17</t>
    </r>
  </si>
  <si>
    <t>Salary and Allowances</t>
  </si>
  <si>
    <t xml:space="preserve">Value of Perks </t>
  </si>
  <si>
    <t>Profit in Lieu of Salary</t>
  </si>
  <si>
    <t xml:space="preserve">Gross Salary </t>
  </si>
  <si>
    <t xml:space="preserve">Less Exempt Allowances (Sec 10) </t>
  </si>
  <si>
    <t xml:space="preserve">Net Salary </t>
  </si>
  <si>
    <t>Less Standard  Deduction</t>
  </si>
  <si>
    <r>
      <t xml:space="preserve">HOUSE PROPERTY </t>
    </r>
    <r>
      <rPr>
        <sz val="10"/>
        <color theme="1"/>
        <rFont val="Arial"/>
        <family val="2"/>
      </rPr>
      <t>U/S 22-27</t>
    </r>
  </si>
  <si>
    <t>SOP</t>
  </si>
  <si>
    <t xml:space="preserve">Annual Value </t>
  </si>
  <si>
    <t xml:space="preserve">LESS: Deduction: Intt on Housing Loan </t>
  </si>
  <si>
    <t>Let-out</t>
  </si>
  <si>
    <t xml:space="preserve">Rent Received </t>
  </si>
  <si>
    <t>Less Municipal Tax Paid</t>
  </si>
  <si>
    <t>LESS: Deduction; Std Deduction @ 30%</t>
  </si>
  <si>
    <t xml:space="preserve">Interest on Housing Loan </t>
  </si>
  <si>
    <t>C/F to Next AY</t>
  </si>
  <si>
    <r>
      <t xml:space="preserve">INCOME FROM BUSINESS OR PROFESSION </t>
    </r>
    <r>
      <rPr>
        <sz val="10"/>
        <color theme="1"/>
        <rFont val="Arial"/>
        <family val="2"/>
      </rPr>
      <t>U/S 28-44</t>
    </r>
  </si>
  <si>
    <t>Business Profit after adjustments</t>
  </si>
  <si>
    <r>
      <t xml:space="preserve">CAPITAL GAINS </t>
    </r>
    <r>
      <rPr>
        <sz val="10"/>
        <color theme="1"/>
        <rFont val="Arial"/>
        <family val="2"/>
      </rPr>
      <t>U/S 45 - 55</t>
    </r>
  </si>
  <si>
    <t>Short Term Capital Gain</t>
  </si>
  <si>
    <t>Gold</t>
  </si>
  <si>
    <t>Long Term Capital Gain</t>
  </si>
  <si>
    <t xml:space="preserve">Sale Proceeds </t>
  </si>
  <si>
    <t>Indexed Acq Cost</t>
  </si>
  <si>
    <r>
      <t xml:space="preserve">OTHER SOURCES </t>
    </r>
    <r>
      <rPr>
        <sz val="10"/>
        <color theme="1"/>
        <rFont val="Arial"/>
        <family val="2"/>
      </rPr>
      <t>U/S 56-59</t>
    </r>
  </si>
  <si>
    <t xml:space="preserve">SAVING BANKs INTEREST </t>
  </si>
  <si>
    <t xml:space="preserve">FIXED DEPOSIT INTEREST - HDFC Bank </t>
  </si>
  <si>
    <t>DIVIDEND</t>
  </si>
  <si>
    <t>GIFT from Friend</t>
  </si>
  <si>
    <t>Exempted Income</t>
  </si>
  <si>
    <t>INTEREST  ON GOVT. SECURITIES</t>
  </si>
  <si>
    <t>INTEREST  ON PUBLIC PROV FUND</t>
  </si>
  <si>
    <t>GROSS TOTAL INCOME</t>
  </si>
  <si>
    <t xml:space="preserve">LESS: DEDUCTIONS UNDER CHAPTER VI-A </t>
  </si>
  <si>
    <t xml:space="preserve">Sec  80C </t>
  </si>
  <si>
    <r>
      <t xml:space="preserve">Sec  80CCD(1B) </t>
    </r>
    <r>
      <rPr>
        <sz val="9"/>
        <color theme="1"/>
        <rFont val="Arial"/>
        <family val="2"/>
      </rPr>
      <t>New Pension Scheme  Max 50000</t>
    </r>
  </si>
  <si>
    <r>
      <t xml:space="preserve">Sec  80CCD(2) </t>
    </r>
    <r>
      <rPr>
        <sz val="9"/>
        <color theme="1"/>
        <rFont val="Arial"/>
        <family val="2"/>
      </rPr>
      <t xml:space="preserve"> Employer's Contribution to NPS</t>
    </r>
  </si>
  <si>
    <t>Sec 80D</t>
  </si>
  <si>
    <t>Sec 80TTA</t>
  </si>
  <si>
    <t>Old Regime</t>
  </si>
  <si>
    <t>New Regime</t>
  </si>
  <si>
    <t xml:space="preserve">Exemption Non-Sr </t>
  </si>
  <si>
    <t xml:space="preserve">TOTAL  INCOME </t>
  </si>
  <si>
    <t>Rounding Off u/s 288A</t>
  </si>
  <si>
    <t>Exemption Senior</t>
  </si>
  <si>
    <t xml:space="preserve">TAX ON TOTAL INCOME </t>
  </si>
  <si>
    <t>upto 500,000</t>
  </si>
  <si>
    <t>NORMAL INCOME</t>
  </si>
  <si>
    <t>Slabs</t>
  </si>
  <si>
    <t>500,000  to   750,000</t>
  </si>
  <si>
    <t>SPECIAL INCOME</t>
  </si>
  <si>
    <t>750,000 to 1000,000</t>
  </si>
  <si>
    <r>
      <t xml:space="preserve">LESS : REBATE  u/s 87A </t>
    </r>
    <r>
      <rPr>
        <sz val="8"/>
        <color theme="1"/>
        <rFont val="Arial Narrow"/>
        <family val="2"/>
      </rPr>
      <t>(Max Rs. 12500, if Total Income not exceeding  Rs. 500,000)</t>
    </r>
  </si>
  <si>
    <t>1000,000 to 1250,000</t>
  </si>
  <si>
    <t>ADD : SURCHARGE  (10%, 15%, 25%, 37%)</t>
  </si>
  <si>
    <t>1250,000 to 1500,000</t>
  </si>
  <si>
    <t>ADD : HEALTH &amp; EDUCATION CESS (4 % ON TAX PAYABLE)</t>
  </si>
  <si>
    <t>Above 1500,000</t>
  </si>
  <si>
    <r>
      <t>TOTAL TAX PAYABLE</t>
    </r>
    <r>
      <rPr>
        <sz val="10"/>
        <color theme="1"/>
        <rFont val="Arial"/>
        <family val="2"/>
      </rPr>
      <t xml:space="preserve"> (including Surcharge &amp; Cesses) </t>
    </r>
  </si>
  <si>
    <t xml:space="preserve">ADD : INTEREST  PAYABLE U/S  234A, 234B, 234C </t>
  </si>
  <si>
    <t>ADD : LATE FEES U/S 234F</t>
  </si>
  <si>
    <t>(16-03-2022 TO 31-03-2022)</t>
  </si>
  <si>
    <t>TOTAL TAX AND INTEREST PAYABLE</t>
  </si>
  <si>
    <t xml:space="preserve">TAX PAID U/S 199 : </t>
  </si>
  <si>
    <t>ADVANCE TAX PAID</t>
  </si>
  <si>
    <t xml:space="preserve">T. D. S. by Tenant  U/S 194-I (Rent) </t>
  </si>
  <si>
    <t xml:space="preserve">T. D. S. by Bank U/S 194A (Bank FDR Intt) </t>
  </si>
  <si>
    <t xml:space="preserve">T. D. S. by Escorts U/S 194 (Dividend) </t>
  </si>
  <si>
    <t>SELF-ASSESSMENT TAX PAID U/S 140A</t>
  </si>
  <si>
    <t>Rounding Off u/s 288B</t>
  </si>
  <si>
    <t>Receipts exceed Rs. 50 lakhs,  So Tax Audit is compulsory</t>
  </si>
  <si>
    <t>Normally Due Date of Filing Audit Report: 30-09-2021</t>
  </si>
  <si>
    <t>Normally Due Date of Filing ITR: 31-10-2021</t>
  </si>
  <si>
    <t>Date for Calculation of Interest u/s 234A :  31-10-2021</t>
  </si>
  <si>
    <t>if Exceeds Rs. 100,000</t>
  </si>
  <si>
    <t>Extended Due Date of Filing Audit Report:  15-02-2022</t>
  </si>
  <si>
    <t>Extended Due Date of Filing ITR:  15-03-2022</t>
  </si>
  <si>
    <t>Calculation  of Interest under Sections 234A, 234B &amp; 234C</t>
  </si>
  <si>
    <t>Total Interest</t>
  </si>
  <si>
    <t>Section 234C: In case of Non-Sr Citizen: If  Amount Exceeds Rs. 10000</t>
  </si>
  <si>
    <t>Total Tax, Surcharge &amp; Cess</t>
  </si>
  <si>
    <t xml:space="preserve">Less TDS by the Deductors </t>
  </si>
  <si>
    <t xml:space="preserve">Liability for Advance tax </t>
  </si>
  <si>
    <t>Deposit Date</t>
  </si>
  <si>
    <t xml:space="preserve">Tax Amount </t>
  </si>
  <si>
    <t>Last Date</t>
  </si>
  <si>
    <t xml:space="preserve">Amount </t>
  </si>
  <si>
    <t>Round Down by 100</t>
  </si>
  <si>
    <t xml:space="preserve">Shortfall </t>
  </si>
  <si>
    <t>Interest</t>
  </si>
  <si>
    <t>ITR can not be filed after 31-03-2022</t>
  </si>
  <si>
    <t>Section 234B:  If  Amount Exceeds Rs. 10000 (Less than 90 %.....)</t>
  </si>
  <si>
    <t xml:space="preserve"> Tax Liability after TDS</t>
  </si>
  <si>
    <t>Advance Tax   till 31-03-2021</t>
  </si>
  <si>
    <t xml:space="preserve">Tax Liability after Advance Tax </t>
  </si>
  <si>
    <t xml:space="preserve">Self-Assessment Tax Paid </t>
  </si>
  <si>
    <t xml:space="preserve">Adjusted for  Intt u/s 234B &amp; 234C  </t>
  </si>
  <si>
    <t xml:space="preserve">Net Amt Paid </t>
  </si>
  <si>
    <t>Tax Liability after Self-Assessment Tax</t>
  </si>
  <si>
    <t>Section 234A:  If Amount Exceeds Rs. 100000</t>
  </si>
  <si>
    <t>Less TDS by the Employer, Bank</t>
  </si>
  <si>
    <t>Less Advance tax paid by 31-03-2021</t>
  </si>
  <si>
    <t xml:space="preserve">Add Interest u/s 234C </t>
  </si>
  <si>
    <t xml:space="preserve">Add Interest u/s 234B </t>
  </si>
  <si>
    <t xml:space="preserve">Less Self-Assessment Paid </t>
  </si>
  <si>
    <t xml:space="preserve">Schedule-Depreciation </t>
  </si>
  <si>
    <t>P &amp; M  (01-04-2020)</t>
  </si>
  <si>
    <t>Computer  (01-04-2020)</t>
  </si>
  <si>
    <r>
      <t xml:space="preserve">Computer </t>
    </r>
    <r>
      <rPr>
        <sz val="10"/>
        <color rgb="FFC00000"/>
        <rFont val="Arial"/>
        <family val="2"/>
      </rPr>
      <t xml:space="preserve">(Sold) </t>
    </r>
  </si>
  <si>
    <r>
      <t xml:space="preserve">Computer </t>
    </r>
    <r>
      <rPr>
        <sz val="9"/>
        <color rgb="FF0A0AAE"/>
        <rFont val="Arial"/>
        <family val="2"/>
      </rPr>
      <t xml:space="preserve"> (Less than 180 days)</t>
    </r>
  </si>
  <si>
    <r>
      <t>Furniture (01-04-2020)</t>
    </r>
    <r>
      <rPr>
        <sz val="10"/>
        <color rgb="FFC00000"/>
        <rFont val="Arial"/>
        <family val="2"/>
      </rPr>
      <t xml:space="preserve"> </t>
    </r>
  </si>
  <si>
    <r>
      <t xml:space="preserve">Furnture </t>
    </r>
    <r>
      <rPr>
        <sz val="9"/>
        <color rgb="FF0A0AAE"/>
        <rFont val="Arial"/>
        <family val="2"/>
      </rPr>
      <t>(Less than 180 days)</t>
    </r>
  </si>
  <si>
    <t xml:space="preserve">Schedule-DPM (Dep on P &amp; M) </t>
  </si>
  <si>
    <t xml:space="preserve">Schedule-DOA </t>
  </si>
  <si>
    <t xml:space="preserve">Plant &amp; Machinery 15% </t>
  </si>
  <si>
    <t>Furniture 10%</t>
  </si>
  <si>
    <t>Computer - 40%</t>
  </si>
  <si>
    <t xml:space="preserve">Schedule BP </t>
  </si>
  <si>
    <t>Profit from P &amp; L A/c</t>
  </si>
  <si>
    <t>BP-11</t>
  </si>
  <si>
    <t>Dep Debited to P &amp; L A/c</t>
  </si>
  <si>
    <t>BP-12</t>
  </si>
  <si>
    <t xml:space="preserve">Dep Allowable </t>
  </si>
  <si>
    <t>BP-16</t>
  </si>
  <si>
    <t>Disallowed u/s  40</t>
  </si>
  <si>
    <t>Non-Deduction of TDS on Audit Fees</t>
  </si>
  <si>
    <t>OI-8Ab</t>
  </si>
  <si>
    <t>BP-17</t>
  </si>
  <si>
    <t>Disallowed u/s Sec 40A</t>
  </si>
  <si>
    <t>Excessive Payment to Relative</t>
  </si>
  <si>
    <t>OI-9a</t>
  </si>
  <si>
    <t>17Disallowed u/s Sec 40A</t>
  </si>
  <si>
    <t>Festival Exp paid in Cash &gt;10000</t>
  </si>
  <si>
    <t>OI-9b</t>
  </si>
  <si>
    <t>BP-18</t>
  </si>
  <si>
    <t>Disallowed u/s  43B</t>
  </si>
  <si>
    <t>Due Taxes but not paid</t>
  </si>
  <si>
    <t>OI-11a</t>
  </si>
  <si>
    <t>35  Income</t>
  </si>
  <si>
    <t>Profit and Loss account</t>
  </si>
  <si>
    <t xml:space="preserve">OI </t>
  </si>
  <si>
    <t xml:space="preserve">Provision for Doubtful Debts </t>
  </si>
  <si>
    <t>Section 36</t>
  </si>
  <si>
    <t>6m</t>
  </si>
  <si>
    <t>Expenditure of Capital Nature</t>
  </si>
  <si>
    <t>Section 37</t>
  </si>
  <si>
    <t>7a</t>
  </si>
  <si>
    <t>Expenditure of Personal  Nature</t>
  </si>
  <si>
    <t>7b</t>
  </si>
  <si>
    <t>Exp in violation of Law - Penalty / Fine</t>
  </si>
  <si>
    <t>7e</t>
  </si>
  <si>
    <t>Any other Penalty / Fine</t>
  </si>
  <si>
    <t>7f</t>
  </si>
  <si>
    <t xml:space="preserve">Contingent Liability </t>
  </si>
  <si>
    <t>7h</t>
  </si>
  <si>
    <t>Non-Deduction of TDS</t>
  </si>
  <si>
    <t>Section 40</t>
  </si>
  <si>
    <t xml:space="preserve">8A(b) </t>
  </si>
  <si>
    <t>Payment of Income Tax, etc</t>
  </si>
  <si>
    <t xml:space="preserve">8A(e) </t>
  </si>
  <si>
    <r>
      <rPr>
        <b/>
        <sz val="8"/>
        <color theme="1"/>
        <rFont val="Arial"/>
        <family val="2"/>
      </rPr>
      <t>Firm</t>
    </r>
    <r>
      <rPr>
        <sz val="8"/>
        <color theme="1"/>
        <rFont val="Arial"/>
        <family val="2"/>
      </rPr>
      <t>: Salary/Interest  paid to Partners</t>
    </r>
  </si>
  <si>
    <t>Section 40(b)</t>
  </si>
  <si>
    <t xml:space="preserve">8A(h) </t>
  </si>
  <si>
    <t>Section 40A</t>
  </si>
  <si>
    <t>9a</t>
  </si>
  <si>
    <t>Cash Payment exceeding Rs. 10000</t>
  </si>
  <si>
    <t>9b</t>
  </si>
  <si>
    <t xml:space="preserve">Taxes due but not paid </t>
  </si>
  <si>
    <t>Section 43B</t>
  </si>
  <si>
    <t>11a</t>
  </si>
  <si>
    <t xml:space="preserve">Salary not paid </t>
  </si>
  <si>
    <t>11c</t>
  </si>
  <si>
    <r>
      <rPr>
        <sz val="8"/>
        <color theme="1"/>
        <rFont val="Arial"/>
        <family val="2"/>
      </rPr>
      <t>Earlier disallowed u/s 40</t>
    </r>
    <r>
      <rPr>
        <sz val="8"/>
        <color rgb="FF3314EC"/>
        <rFont val="Arial"/>
        <family val="2"/>
      </rPr>
      <t xml:space="preserve">,  </t>
    </r>
    <r>
      <rPr>
        <sz val="8"/>
        <color rgb="FF00B050"/>
        <rFont val="Arial"/>
        <family val="2"/>
      </rPr>
      <t>Now Allowable</t>
    </r>
  </si>
  <si>
    <t xml:space="preserve">Section 40 </t>
  </si>
  <si>
    <t>8B</t>
  </si>
  <si>
    <r>
      <rPr>
        <sz val="8"/>
        <color theme="1"/>
        <rFont val="Arial"/>
        <family val="2"/>
      </rPr>
      <t>Earlier disallowed u/s 43B</t>
    </r>
    <r>
      <rPr>
        <sz val="8"/>
        <color rgb="FF3314EC"/>
        <rFont val="Arial"/>
        <family val="2"/>
      </rPr>
      <t xml:space="preserve">, </t>
    </r>
    <r>
      <rPr>
        <sz val="8"/>
        <color rgb="FF00B050"/>
        <rFont val="Arial"/>
        <family val="2"/>
      </rPr>
      <t>Now Allowable</t>
    </r>
  </si>
  <si>
    <t xml:space="preserve">Other Information </t>
  </si>
  <si>
    <t xml:space="preserve">Linkage of Schedules: Other Information and Business/ Profession </t>
  </si>
  <si>
    <t xml:space="preserve">Business / Profession </t>
  </si>
  <si>
    <t>OI-6s</t>
  </si>
  <si>
    <t>Amounts debited to the profit and loss account, to the extent disallowable under section 36 (6s of Part A-OI)</t>
  </si>
  <si>
    <t>BP-14</t>
  </si>
  <si>
    <t>OI-7j</t>
  </si>
  <si>
    <t>Amounts debited to the profit and loss account, to the extent disallowable under section 37 (7j of Part-OI)</t>
  </si>
  <si>
    <t>BP-15</t>
  </si>
  <si>
    <t>OI-8Aj</t>
  </si>
  <si>
    <t>Amounts debited to the profit and loss account, to the extent disallowable under section 40 (8Aj of Part-OI)</t>
  </si>
  <si>
    <t>OI-9f</t>
  </si>
  <si>
    <t>Amounts debited to the profit and loss account, to the extent disallowable under section 40A (9f of Part-OI)</t>
  </si>
  <si>
    <t>OI-11h</t>
  </si>
  <si>
    <t>Any amount debited to profit and loss account of the previous year but disallowable under section 43B (11h of Part-OI)</t>
  </si>
  <si>
    <t>OI-8B</t>
  </si>
  <si>
    <t>Any amount disallowed under section 40 in any preceding previous year but allowable during the previous year(8B of Part-OI)</t>
  </si>
  <si>
    <t>BP-30</t>
  </si>
  <si>
    <t>OI-10h</t>
  </si>
  <si>
    <t>Any amount disallowed under section 43B in any preceding previous year but allowable during the previous year(10h of Part-OI)</t>
  </si>
  <si>
    <t>BP-31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</si>
</sst>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Lucida Console"/>
      <family val="3"/>
    </font>
    <font>
      <b/>
      <i/>
      <sz val="9"/>
      <color theme="9" tint="-0.499984740745262"/>
      <name val="Arial"/>
      <family val="2"/>
    </font>
    <font>
      <b/>
      <sz val="8"/>
      <color theme="1"/>
      <name val="High Tower Text"/>
      <family val="1"/>
    </font>
    <font>
      <sz val="11"/>
      <color theme="1"/>
      <name val="Arial"/>
      <family val="2"/>
    </font>
    <font>
      <b/>
      <sz val="9"/>
      <color theme="1"/>
      <name val="Lucida Console"/>
      <family val="3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 tint="-4.9989318521683403E-2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9" tint="-0.499984740745262"/>
      <name val="Arial"/>
      <family val="2"/>
    </font>
    <font>
      <b/>
      <sz val="9"/>
      <color rgb="FF0A0AAE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9" tint="-0.499984740745262"/>
      <name val="Arial"/>
      <family val="2"/>
    </font>
    <font>
      <i/>
      <u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8" tint="0.79998168889431442"/>
      <name val="Arial"/>
      <family val="2"/>
    </font>
    <font>
      <sz val="10"/>
      <color rgb="FF0A0AAE"/>
      <name val="Arial"/>
      <family val="2"/>
    </font>
    <font>
      <sz val="10"/>
      <color rgb="FFC00000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8"/>
      <color rgb="FFC00000"/>
      <name val="Arial"/>
      <family val="2"/>
    </font>
    <font>
      <sz val="9"/>
      <color rgb="FF0C08B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9" tint="-0.249977111117893"/>
      <name val="Arial"/>
      <family val="2"/>
    </font>
    <font>
      <sz val="9"/>
      <color rgb="FFC00000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  <font>
      <b/>
      <sz val="9"/>
      <color theme="9" tint="-0.249977111117893"/>
      <name val="Arial"/>
      <family val="2"/>
    </font>
    <font>
      <sz val="9"/>
      <color rgb="FF0000FF"/>
      <name val="Arial"/>
      <family val="2"/>
    </font>
    <font>
      <sz val="10"/>
      <color indexed="12"/>
      <name val="Arial"/>
      <family val="2"/>
    </font>
    <font>
      <sz val="9"/>
      <color theme="0"/>
      <name val="Arial"/>
      <family val="2"/>
    </font>
    <font>
      <sz val="8"/>
      <color theme="2"/>
      <name val="Arial"/>
      <family val="2"/>
    </font>
    <font>
      <b/>
      <sz val="8"/>
      <color rgb="FFC00000"/>
      <name val="Arial"/>
      <family val="2"/>
    </font>
    <font>
      <b/>
      <sz val="8"/>
      <color theme="9" tint="-0.249977111117893"/>
      <name val="Arial"/>
      <family val="2"/>
    </font>
    <font>
      <sz val="8"/>
      <color rgb="FF0000FF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rgb="FF0A0AAE"/>
      <name val="Arial"/>
      <family val="2"/>
    </font>
    <font>
      <b/>
      <sz val="10"/>
      <color rgb="FFC00000"/>
      <name val="Arial"/>
      <family val="2"/>
    </font>
    <font>
      <b/>
      <sz val="10"/>
      <color rgb="FF0A0AAE"/>
      <name val="Arial"/>
      <family val="2"/>
    </font>
    <font>
      <b/>
      <sz val="8"/>
      <color rgb="FF0A0AAE"/>
      <name val="Arial Narrow"/>
      <family val="2"/>
    </font>
    <font>
      <sz val="8"/>
      <color rgb="FF0A0AAE"/>
      <name val="Arial"/>
      <family val="2"/>
    </font>
    <font>
      <sz val="8"/>
      <color rgb="FF3314EC"/>
      <name val="Arial"/>
      <family val="2"/>
    </font>
    <font>
      <b/>
      <sz val="8"/>
      <color rgb="FF3314EC"/>
      <name val="Arial"/>
      <family val="2"/>
    </font>
    <font>
      <sz val="8"/>
      <color rgb="FF00B050"/>
      <name val="Arial"/>
      <family val="2"/>
    </font>
    <font>
      <b/>
      <sz val="8"/>
      <color theme="2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18">
    <xf numFmtId="0" fontId="0" fillId="0" borderId="0" xfId="0"/>
    <xf numFmtId="0" fontId="4" fillId="0" borderId="0" xfId="2" applyFont="1"/>
    <xf numFmtId="0" fontId="6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1" fontId="10" fillId="0" borderId="5" xfId="2" applyNumberFormat="1" applyFont="1" applyBorder="1" applyAlignment="1">
      <alignment horizontal="center" vertical="center" wrapText="1"/>
    </xf>
    <xf numFmtId="1" fontId="10" fillId="0" borderId="8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1" fillId="0" borderId="2" xfId="2" applyNumberFormat="1" applyFont="1" applyBorder="1" applyAlignment="1">
      <alignment shrinkToFit="1"/>
    </xf>
    <xf numFmtId="0" fontId="12" fillId="0" borderId="3" xfId="2" applyFont="1" applyBorder="1"/>
    <xf numFmtId="0" fontId="4" fillId="0" borderId="3" xfId="2" applyFont="1" applyBorder="1"/>
    <xf numFmtId="0" fontId="13" fillId="0" borderId="0" xfId="2" applyFont="1" applyAlignment="1">
      <alignment horizontal="center" vertical="top"/>
    </xf>
    <xf numFmtId="0" fontId="14" fillId="0" borderId="4" xfId="2" applyFont="1" applyBorder="1" applyAlignment="1">
      <alignment horizontal="center"/>
    </xf>
    <xf numFmtId="1" fontId="12" fillId="0" borderId="9" xfId="2" applyNumberFormat="1" applyFont="1" applyBorder="1"/>
    <xf numFmtId="0" fontId="11" fillId="0" borderId="1" xfId="2" applyFont="1" applyBorder="1" applyAlignment="1">
      <alignment shrinkToFit="1"/>
    </xf>
    <xf numFmtId="0" fontId="11" fillId="0" borderId="0" xfId="2" applyFont="1"/>
    <xf numFmtId="0" fontId="15" fillId="0" borderId="0" xfId="2" applyFont="1" applyAlignment="1">
      <alignment horizontal="left"/>
    </xf>
    <xf numFmtId="1" fontId="4" fillId="3" borderId="0" xfId="2" applyNumberFormat="1" applyFont="1" applyFill="1"/>
    <xf numFmtId="1" fontId="4" fillId="3" borderId="10" xfId="2" applyNumberFormat="1" applyFont="1" applyFill="1" applyBorder="1"/>
    <xf numFmtId="0" fontId="16" fillId="0" borderId="0" xfId="2" applyFont="1"/>
    <xf numFmtId="0" fontId="17" fillId="0" borderId="0" xfId="2" applyFont="1"/>
    <xf numFmtId="1" fontId="4" fillId="0" borderId="11" xfId="2" applyNumberFormat="1" applyFont="1" applyBorder="1"/>
    <xf numFmtId="0" fontId="18" fillId="0" borderId="0" xfId="2" applyFont="1"/>
    <xf numFmtId="0" fontId="19" fillId="0" borderId="0" xfId="2" applyFont="1" applyAlignment="1">
      <alignment horizontal="left"/>
    </xf>
    <xf numFmtId="0" fontId="17" fillId="0" borderId="0" xfId="2" applyFont="1" applyAlignment="1">
      <alignment horizontal="right"/>
    </xf>
    <xf numFmtId="1" fontId="4" fillId="0" borderId="0" xfId="2" applyNumberFormat="1" applyFont="1"/>
    <xf numFmtId="0" fontId="19" fillId="0" borderId="0" xfId="2" applyFont="1"/>
    <xf numFmtId="0" fontId="12" fillId="0" borderId="0" xfId="2" applyFont="1"/>
    <xf numFmtId="0" fontId="2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0" fillId="0" borderId="0" xfId="2" applyFont="1"/>
    <xf numFmtId="0" fontId="4" fillId="4" borderId="12" xfId="2" applyFont="1" applyFill="1" applyBorder="1"/>
    <xf numFmtId="0" fontId="2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12" xfId="2" applyFont="1" applyBorder="1"/>
    <xf numFmtId="0" fontId="11" fillId="0" borderId="10" xfId="2" applyFont="1" applyBorder="1"/>
    <xf numFmtId="0" fontId="4" fillId="0" borderId="10" xfId="2" applyFont="1" applyBorder="1"/>
    <xf numFmtId="0" fontId="15" fillId="0" borderId="0" xfId="2" applyFont="1"/>
    <xf numFmtId="0" fontId="22" fillId="0" borderId="0" xfId="2" applyFont="1"/>
    <xf numFmtId="0" fontId="12" fillId="0" borderId="0" xfId="3" applyFont="1"/>
    <xf numFmtId="0" fontId="4" fillId="0" borderId="0" xfId="3" applyFont="1"/>
    <xf numFmtId="0" fontId="15" fillId="0" borderId="0" xfId="3" applyFont="1"/>
    <xf numFmtId="0" fontId="4" fillId="4" borderId="0" xfId="2" applyFont="1" applyFill="1"/>
    <xf numFmtId="0" fontId="11" fillId="0" borderId="0" xfId="2" applyFont="1" applyAlignment="1">
      <alignment horizontal="right"/>
    </xf>
    <xf numFmtId="0" fontId="11" fillId="0" borderId="10" xfId="2" applyFont="1" applyBorder="1" applyAlignment="1">
      <alignment horizontal="right"/>
    </xf>
    <xf numFmtId="0" fontId="22" fillId="0" borderId="0" xfId="2" applyFont="1" applyAlignment="1">
      <alignment horizontal="center"/>
    </xf>
    <xf numFmtId="14" fontId="22" fillId="0" borderId="0" xfId="2" applyNumberFormat="1" applyFont="1" applyAlignment="1">
      <alignment horizontal="center"/>
    </xf>
    <xf numFmtId="1" fontId="4" fillId="0" borderId="10" xfId="2" applyNumberFormat="1" applyFont="1" applyBorder="1"/>
    <xf numFmtId="0" fontId="22" fillId="0" borderId="0" xfId="2" applyFont="1" applyAlignment="1">
      <alignment horizontal="left"/>
    </xf>
    <xf numFmtId="0" fontId="23" fillId="0" borderId="0" xfId="2" applyFont="1" applyAlignment="1">
      <alignment horizontal="center"/>
    </xf>
    <xf numFmtId="1" fontId="12" fillId="0" borderId="0" xfId="2" applyNumberFormat="1" applyFont="1"/>
    <xf numFmtId="1" fontId="24" fillId="0" borderId="13" xfId="2" applyNumberFormat="1" applyFont="1" applyBorder="1"/>
    <xf numFmtId="0" fontId="25" fillId="0" borderId="0" xfId="2" applyFont="1"/>
    <xf numFmtId="0" fontId="26" fillId="0" borderId="0" xfId="2" applyFont="1"/>
    <xf numFmtId="0" fontId="27" fillId="0" borderId="0" xfId="2" applyFont="1"/>
    <xf numFmtId="1" fontId="18" fillId="0" borderId="0" xfId="2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4" fillId="4" borderId="10" xfId="2" applyFont="1" applyFill="1" applyBorder="1"/>
    <xf numFmtId="1" fontId="12" fillId="0" borderId="9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center"/>
    </xf>
    <xf numFmtId="0" fontId="12" fillId="0" borderId="0" xfId="2" applyFont="1" applyAlignment="1">
      <alignment vertical="center"/>
    </xf>
    <xf numFmtId="1" fontId="22" fillId="0" borderId="0" xfId="2" applyNumberFormat="1" applyFont="1" applyAlignment="1">
      <alignment horizontal="left"/>
    </xf>
    <xf numFmtId="1" fontId="24" fillId="0" borderId="14" xfId="2" applyNumberFormat="1" applyFont="1" applyBorder="1"/>
    <xf numFmtId="0" fontId="15" fillId="0" borderId="0" xfId="2" applyFont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right"/>
    </xf>
    <xf numFmtId="0" fontId="27" fillId="0" borderId="0" xfId="2" applyFont="1" applyAlignment="1">
      <alignment horizontal="center"/>
    </xf>
    <xf numFmtId="0" fontId="4" fillId="0" borderId="9" xfId="2" applyFont="1" applyBorder="1"/>
    <xf numFmtId="9" fontId="15" fillId="0" borderId="0" xfId="2" applyNumberFormat="1" applyFont="1" applyAlignment="1">
      <alignment horizontal="center"/>
    </xf>
    <xf numFmtId="1" fontId="19" fillId="0" borderId="0" xfId="2" applyNumberFormat="1" applyFont="1" applyAlignment="1">
      <alignment horizontal="center" shrinkToFit="1"/>
    </xf>
    <xf numFmtId="1" fontId="28" fillId="0" borderId="0" xfId="2" applyNumberFormat="1" applyFont="1" applyAlignment="1">
      <alignment horizontal="right" indent="1"/>
    </xf>
    <xf numFmtId="0" fontId="4" fillId="0" borderId="15" xfId="2" applyFont="1" applyBorder="1"/>
    <xf numFmtId="1" fontId="23" fillId="0" borderId="0" xfId="2" applyNumberFormat="1" applyFont="1"/>
    <xf numFmtId="0" fontId="15" fillId="0" borderId="0" xfId="2" applyFont="1" applyAlignment="1">
      <alignment horizontal="right"/>
    </xf>
    <xf numFmtId="1" fontId="29" fillId="0" borderId="0" xfId="2" applyNumberFormat="1" applyFont="1" applyAlignment="1">
      <alignment horizontal="center"/>
    </xf>
    <xf numFmtId="0" fontId="15" fillId="0" borderId="12" xfId="2" applyFont="1" applyBorder="1" applyAlignment="1">
      <alignment horizontal="right"/>
    </xf>
    <xf numFmtId="0" fontId="23" fillId="0" borderId="0" xfId="2" applyFont="1" applyAlignment="1">
      <alignment horizontal="right"/>
    </xf>
    <xf numFmtId="0" fontId="23" fillId="0" borderId="0" xfId="2" applyFont="1"/>
    <xf numFmtId="0" fontId="4" fillId="0" borderId="0" xfId="2" applyFont="1" applyAlignment="1">
      <alignment horizontal="right"/>
    </xf>
    <xf numFmtId="1" fontId="4" fillId="0" borderId="8" xfId="2" applyNumberFormat="1" applyFont="1" applyBorder="1" applyAlignment="1">
      <alignment horizontal="right"/>
    </xf>
    <xf numFmtId="1" fontId="4" fillId="0" borderId="9" xfId="2" applyNumberFormat="1" applyFont="1" applyBorder="1" applyAlignment="1">
      <alignment horizontal="right"/>
    </xf>
    <xf numFmtId="1" fontId="4" fillId="0" borderId="16" xfId="2" applyNumberFormat="1" applyFont="1" applyBorder="1" applyAlignment="1">
      <alignment horizontal="right"/>
    </xf>
    <xf numFmtId="0" fontId="30" fillId="0" borderId="0" xfId="2" applyFont="1"/>
    <xf numFmtId="0" fontId="31" fillId="0" borderId="0" xfId="2" applyFont="1"/>
    <xf numFmtId="1" fontId="4" fillId="3" borderId="16" xfId="2" applyNumberFormat="1" applyFont="1" applyFill="1" applyBorder="1"/>
    <xf numFmtId="1" fontId="32" fillId="5" borderId="16" xfId="2" applyNumberFormat="1" applyFont="1" applyFill="1" applyBorder="1"/>
    <xf numFmtId="1" fontId="33" fillId="5" borderId="9" xfId="2" applyNumberFormat="1" applyFont="1" applyFill="1" applyBorder="1"/>
    <xf numFmtId="14" fontId="18" fillId="0" borderId="0" xfId="2" applyNumberFormat="1" applyFont="1" applyAlignment="1">
      <alignment horizontal="center"/>
    </xf>
    <xf numFmtId="0" fontId="10" fillId="0" borderId="0" xfId="2" applyFont="1" applyAlignment="1">
      <alignment horizontal="left" shrinkToFit="1"/>
    </xf>
    <xf numFmtId="1" fontId="4" fillId="0" borderId="0" xfId="2" applyNumberFormat="1" applyFont="1" applyAlignment="1">
      <alignment horizontal="center"/>
    </xf>
    <xf numFmtId="0" fontId="11" fillId="0" borderId="5" xfId="2" applyFont="1" applyBorder="1" applyAlignment="1">
      <alignment shrinkToFit="1"/>
    </xf>
    <xf numFmtId="14" fontId="18" fillId="0" borderId="6" xfId="2" applyNumberFormat="1" applyFont="1" applyBorder="1" applyAlignment="1">
      <alignment horizontal="center"/>
    </xf>
    <xf numFmtId="1" fontId="4" fillId="0" borderId="6" xfId="2" applyNumberFormat="1" applyFont="1" applyBorder="1"/>
    <xf numFmtId="1" fontId="12" fillId="0" borderId="8" xfId="2" applyNumberFormat="1" applyFont="1" applyBorder="1"/>
    <xf numFmtId="1" fontId="33" fillId="5" borderId="8" xfId="2" applyNumberFormat="1" applyFont="1" applyFill="1" applyBorder="1"/>
    <xf numFmtId="1" fontId="11" fillId="0" borderId="5" xfId="2" applyNumberFormat="1" applyFont="1" applyBorder="1" applyAlignment="1">
      <alignment shrinkToFit="1"/>
    </xf>
    <xf numFmtId="0" fontId="12" fillId="0" borderId="6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22" fillId="0" borderId="6" xfId="2" applyFont="1" applyBorder="1" applyAlignment="1">
      <alignment horizontal="left"/>
    </xf>
    <xf numFmtId="0" fontId="22" fillId="0" borderId="0" xfId="2" applyFont="1" applyAlignment="1">
      <alignment shrinkToFit="1"/>
    </xf>
    <xf numFmtId="49" fontId="22" fillId="0" borderId="0" xfId="2" applyNumberFormat="1" applyFont="1"/>
    <xf numFmtId="2" fontId="22" fillId="0" borderId="0" xfId="2" applyNumberFormat="1" applyFont="1" applyAlignment="1">
      <alignment horizontal="right"/>
    </xf>
    <xf numFmtId="14" fontId="34" fillId="0" borderId="0" xfId="4" applyNumberFormat="1" applyFont="1"/>
    <xf numFmtId="0" fontId="4" fillId="0" borderId="0" xfId="4" applyFont="1"/>
    <xf numFmtId="0" fontId="35" fillId="0" borderId="0" xfId="4" applyFont="1"/>
    <xf numFmtId="0" fontId="36" fillId="0" borderId="0" xfId="4" applyFont="1"/>
    <xf numFmtId="0" fontId="37" fillId="0" borderId="0" xfId="4" applyFont="1" applyAlignment="1">
      <alignment horizontal="right"/>
    </xf>
    <xf numFmtId="0" fontId="38" fillId="0" borderId="0" xfId="4" applyFont="1"/>
    <xf numFmtId="0" fontId="39" fillId="0" borderId="0" xfId="4" applyFont="1"/>
    <xf numFmtId="0" fontId="11" fillId="0" borderId="0" xfId="4" applyFont="1"/>
    <xf numFmtId="0" fontId="40" fillId="6" borderId="0" xfId="4" applyFont="1" applyFill="1"/>
    <xf numFmtId="0" fontId="41" fillId="6" borderId="0" xfId="4" applyFont="1" applyFill="1"/>
    <xf numFmtId="0" fontId="42" fillId="6" borderId="0" xfId="4" applyFont="1" applyFill="1"/>
    <xf numFmtId="1" fontId="40" fillId="6" borderId="0" xfId="4" applyNumberFormat="1" applyFont="1" applyFill="1"/>
    <xf numFmtId="0" fontId="43" fillId="0" borderId="0" xfId="4" applyFont="1"/>
    <xf numFmtId="0" fontId="3" fillId="0" borderId="0" xfId="4"/>
    <xf numFmtId="0" fontId="44" fillId="0" borderId="0" xfId="4" applyFont="1"/>
    <xf numFmtId="2" fontId="45" fillId="0" borderId="0" xfId="4" applyNumberFormat="1" applyFont="1"/>
    <xf numFmtId="0" fontId="21" fillId="0" borderId="0" xfId="4" applyFont="1"/>
    <xf numFmtId="1" fontId="36" fillId="0" borderId="0" xfId="4" applyNumberFormat="1" applyFont="1"/>
    <xf numFmtId="0" fontId="11" fillId="0" borderId="0" xfId="0" applyFont="1"/>
    <xf numFmtId="0" fontId="11" fillId="0" borderId="0" xfId="4" applyFont="1" applyAlignment="1">
      <alignment horizontal="right"/>
    </xf>
    <xf numFmtId="1" fontId="36" fillId="0" borderId="17" xfId="4" applyNumberFormat="1" applyFont="1" applyBorder="1"/>
    <xf numFmtId="0" fontId="4" fillId="0" borderId="0" xfId="0" applyFont="1"/>
    <xf numFmtId="1" fontId="46" fillId="0" borderId="0" xfId="4" applyNumberFormat="1" applyFont="1"/>
    <xf numFmtId="0" fontId="11" fillId="0" borderId="0" xfId="0" applyFont="1" applyAlignment="1">
      <alignment shrinkToFit="1"/>
    </xf>
    <xf numFmtId="0" fontId="36" fillId="0" borderId="0" xfId="4" applyFont="1" applyAlignment="1">
      <alignment horizontal="center" vertical="center"/>
    </xf>
    <xf numFmtId="1" fontId="36" fillId="0" borderId="0" xfId="4" applyNumberFormat="1" applyFont="1" applyAlignment="1">
      <alignment horizontal="center" vertical="center" wrapText="1"/>
    </xf>
    <xf numFmtId="1" fontId="36" fillId="0" borderId="0" xfId="4" applyNumberFormat="1" applyFont="1" applyAlignment="1">
      <alignment horizontal="center" vertical="center"/>
    </xf>
    <xf numFmtId="0" fontId="11" fillId="0" borderId="0" xfId="0" applyFont="1" applyAlignment="1">
      <alignment horizontal="center" shrinkToFit="1"/>
    </xf>
    <xf numFmtId="164" fontId="36" fillId="0" borderId="0" xfId="4" applyNumberFormat="1" applyFont="1" applyAlignment="1">
      <alignment horizontal="center"/>
    </xf>
    <xf numFmtId="1" fontId="36" fillId="7" borderId="0" xfId="4" applyNumberFormat="1" applyFont="1" applyFill="1"/>
    <xf numFmtId="1" fontId="47" fillId="0" borderId="0" xfId="4" applyNumberFormat="1" applyFont="1"/>
    <xf numFmtId="1" fontId="11" fillId="0" borderId="0" xfId="4" applyNumberFormat="1" applyFont="1" applyAlignment="1">
      <alignment horizontal="center"/>
    </xf>
    <xf numFmtId="164" fontId="14" fillId="0" borderId="0" xfId="4" applyNumberFormat="1" applyFont="1" applyAlignment="1">
      <alignment horizontal="center"/>
    </xf>
    <xf numFmtId="1" fontId="36" fillId="0" borderId="0" xfId="4" applyNumberFormat="1" applyFont="1" applyAlignment="1">
      <alignment horizontal="center"/>
    </xf>
    <xf numFmtId="1" fontId="11" fillId="0" borderId="0" xfId="4" applyNumberFormat="1" applyFont="1"/>
    <xf numFmtId="2" fontId="36" fillId="0" borderId="0" xfId="4" applyNumberFormat="1" applyFont="1"/>
    <xf numFmtId="1" fontId="11" fillId="0" borderId="0" xfId="0" applyNumberFormat="1" applyFont="1" applyAlignment="1">
      <alignment horizontal="center"/>
    </xf>
    <xf numFmtId="1" fontId="37" fillId="0" borderId="17" xfId="4" applyNumberFormat="1" applyFont="1" applyBorder="1"/>
    <xf numFmtId="1" fontId="37" fillId="8" borderId="17" xfId="4" applyNumberFormat="1" applyFont="1" applyFill="1" applyBorder="1" applyAlignment="1">
      <alignment horizontal="center"/>
    </xf>
    <xf numFmtId="0" fontId="11" fillId="0" borderId="6" xfId="0" applyFont="1" applyBorder="1" applyAlignment="1">
      <alignment shrinkToFit="1"/>
    </xf>
    <xf numFmtId="0" fontId="36" fillId="0" borderId="6" xfId="4" applyFont="1" applyBorder="1"/>
    <xf numFmtId="1" fontId="37" fillId="0" borderId="6" xfId="4" applyNumberFormat="1" applyFont="1" applyBorder="1"/>
    <xf numFmtId="17" fontId="48" fillId="0" borderId="18" xfId="4" applyNumberFormat="1" applyFont="1" applyBorder="1" applyAlignment="1">
      <alignment horizontal="right"/>
    </xf>
    <xf numFmtId="0" fontId="49" fillId="0" borderId="0" xfId="4" applyFont="1"/>
    <xf numFmtId="2" fontId="37" fillId="0" borderId="0" xfId="4" applyNumberFormat="1" applyFont="1"/>
    <xf numFmtId="0" fontId="36" fillId="0" borderId="0" xfId="4" applyFont="1" applyAlignment="1">
      <alignment horizontal="center"/>
    </xf>
    <xf numFmtId="17" fontId="36" fillId="0" borderId="0" xfId="4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6" fillId="0" borderId="0" xfId="4" applyFont="1" applyAlignment="1">
      <alignment horizontal="left" indent="1"/>
    </xf>
    <xf numFmtId="9" fontId="50" fillId="0" borderId="0" xfId="4" applyNumberFormat="1" applyFont="1" applyAlignment="1">
      <alignment horizontal="center"/>
    </xf>
    <xf numFmtId="0" fontId="51" fillId="0" borderId="0" xfId="4" applyFont="1" applyAlignment="1">
      <alignment horizontal="right"/>
    </xf>
    <xf numFmtId="1" fontId="36" fillId="0" borderId="0" xfId="4" applyNumberFormat="1" applyFont="1" applyAlignment="1">
      <alignment horizontal="left"/>
    </xf>
    <xf numFmtId="164" fontId="34" fillId="7" borderId="0" xfId="4" applyNumberFormat="1" applyFont="1" applyFill="1" applyAlignment="1">
      <alignment horizontal="center"/>
    </xf>
    <xf numFmtId="1" fontId="51" fillId="0" borderId="0" xfId="4" applyNumberFormat="1" applyFont="1" applyAlignment="1">
      <alignment horizontal="left"/>
    </xf>
    <xf numFmtId="0" fontId="22" fillId="0" borderId="0" xfId="0" applyFont="1"/>
    <xf numFmtId="1" fontId="36" fillId="0" borderId="0" xfId="4" applyNumberFormat="1" applyFont="1" applyAlignment="1">
      <alignment horizontal="right"/>
    </xf>
    <xf numFmtId="1" fontId="37" fillId="0" borderId="17" xfId="4" applyNumberFormat="1" applyFont="1" applyBorder="1" applyAlignment="1">
      <alignment horizontal="center"/>
    </xf>
    <xf numFmtId="0" fontId="11" fillId="0" borderId="6" xfId="0" applyFont="1" applyBorder="1"/>
    <xf numFmtId="1" fontId="36" fillId="0" borderId="6" xfId="4" applyNumberFormat="1" applyFont="1" applyBorder="1" applyAlignment="1">
      <alignment horizontal="right"/>
    </xf>
    <xf numFmtId="1" fontId="36" fillId="0" borderId="6" xfId="4" applyNumberFormat="1" applyFont="1" applyBorder="1"/>
    <xf numFmtId="14" fontId="36" fillId="0" borderId="0" xfId="4" applyNumberFormat="1" applyFont="1" applyAlignment="1">
      <alignment horizontal="center"/>
    </xf>
    <xf numFmtId="0" fontId="36" fillId="0" borderId="0" xfId="4" applyFont="1" applyAlignment="1">
      <alignment horizontal="left" indent="2"/>
    </xf>
    <xf numFmtId="1" fontId="11" fillId="0" borderId="0" xfId="0" applyNumberFormat="1" applyFont="1"/>
    <xf numFmtId="0" fontId="11" fillId="0" borderId="0" xfId="4" applyFont="1" applyAlignment="1">
      <alignment shrinkToFit="1"/>
    </xf>
    <xf numFmtId="17" fontId="48" fillId="0" borderId="0" xfId="4" applyNumberFormat="1" applyFont="1" applyAlignment="1">
      <alignment horizontal="right"/>
    </xf>
    <xf numFmtId="0" fontId="11" fillId="0" borderId="19" xfId="4" applyFont="1" applyBorder="1" applyAlignment="1">
      <alignment shrinkToFit="1"/>
    </xf>
    <xf numFmtId="0" fontId="4" fillId="0" borderId="19" xfId="4" applyFont="1" applyBorder="1"/>
    <xf numFmtId="0" fontId="11" fillId="0" borderId="0" xfId="2" applyFont="1" applyAlignment="1">
      <alignment shrinkToFit="1"/>
    </xf>
    <xf numFmtId="38" fontId="3" fillId="0" borderId="0" xfId="4" applyNumberFormat="1"/>
    <xf numFmtId="9" fontId="3" fillId="0" borderId="0" xfId="4" applyNumberFormat="1" applyAlignment="1">
      <alignment horizontal="center"/>
    </xf>
    <xf numFmtId="38" fontId="53" fillId="0" borderId="0" xfId="4" applyNumberFormat="1" applyFont="1"/>
    <xf numFmtId="38" fontId="55" fillId="0" borderId="17" xfId="4" applyNumberFormat="1" applyFont="1" applyBorder="1"/>
    <xf numFmtId="38" fontId="4" fillId="0" borderId="0" xfId="2" applyNumberFormat="1" applyFont="1" applyAlignment="1">
      <alignment horizontal="right"/>
    </xf>
    <xf numFmtId="0" fontId="15" fillId="0" borderId="0" xfId="4" applyFont="1"/>
    <xf numFmtId="9" fontId="4" fillId="0" borderId="0" xfId="4" applyNumberFormat="1" applyFont="1" applyAlignment="1">
      <alignment horizontal="center"/>
    </xf>
    <xf numFmtId="38" fontId="4" fillId="0" borderId="0" xfId="2" applyNumberFormat="1" applyFont="1"/>
    <xf numFmtId="38" fontId="4" fillId="0" borderId="0" xfId="4" applyNumberFormat="1" applyFont="1"/>
    <xf numFmtId="0" fontId="4" fillId="0" borderId="0" xfId="4" applyFont="1" applyAlignment="1">
      <alignment horizontal="left"/>
    </xf>
    <xf numFmtId="0" fontId="22" fillId="0" borderId="0" xfId="2" applyFont="1" applyAlignment="1">
      <alignment horizontal="center" shrinkToFit="1"/>
    </xf>
    <xf numFmtId="0" fontId="57" fillId="0" borderId="0" xfId="2" applyFont="1" applyAlignment="1">
      <alignment horizontal="center" shrinkToFit="1"/>
    </xf>
    <xf numFmtId="0" fontId="22" fillId="0" borderId="0" xfId="2" applyFont="1" applyAlignment="1">
      <alignment horizontal="left" indent="1"/>
    </xf>
    <xf numFmtId="1" fontId="58" fillId="0" borderId="0" xfId="2" applyNumberFormat="1" applyFont="1" applyAlignment="1">
      <alignment horizontal="center"/>
    </xf>
    <xf numFmtId="0" fontId="4" fillId="0" borderId="17" xfId="4" applyFont="1" applyBorder="1"/>
    <xf numFmtId="0" fontId="4" fillId="0" borderId="17" xfId="2" applyFont="1" applyBorder="1"/>
    <xf numFmtId="1" fontId="4" fillId="0" borderId="17" xfId="2" applyNumberFormat="1" applyFont="1" applyBorder="1"/>
    <xf numFmtId="1" fontId="12" fillId="0" borderId="17" xfId="2" applyNumberFormat="1" applyFont="1" applyBorder="1"/>
    <xf numFmtId="0" fontId="59" fillId="0" borderId="0" xfId="0" applyFont="1"/>
    <xf numFmtId="0" fontId="5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2" fillId="0" borderId="20" xfId="0" applyFont="1" applyBorder="1" applyAlignment="1">
      <alignment horizontal="center" vertical="center" wrapText="1"/>
    </xf>
    <xf numFmtId="49" fontId="62" fillId="9" borderId="16" xfId="0" applyNumberFormat="1" applyFont="1" applyFill="1" applyBorder="1" applyAlignment="1" applyProtection="1">
      <alignment horizontal="center" vertical="center" wrapText="1"/>
      <protection hidden="1"/>
    </xf>
    <xf numFmtId="49" fontId="62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Alignment="1">
      <alignment horizontal="left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0" fillId="0" borderId="0" xfId="2" applyFont="1" applyAlignment="1">
      <alignment horizontal="left" shrinkToFit="1"/>
    </xf>
    <xf numFmtId="0" fontId="10" fillId="0" borderId="6" xfId="2" applyFont="1" applyBorder="1" applyAlignment="1">
      <alignment horizontal="left" shrinkToFit="1"/>
    </xf>
    <xf numFmtId="0" fontId="52" fillId="7" borderId="0" xfId="4" applyFont="1" applyFill="1" applyAlignment="1">
      <alignment horizontal="center"/>
    </xf>
    <xf numFmtId="0" fontId="56" fillId="7" borderId="0" xfId="4" applyFont="1" applyFill="1" applyAlignment="1">
      <alignment horizontal="center"/>
    </xf>
    <xf numFmtId="0" fontId="62" fillId="0" borderId="25" xfId="0" applyFont="1" applyBorder="1" applyAlignment="1">
      <alignment horizontal="left" vertical="center" wrapText="1" indent="1"/>
    </xf>
    <xf numFmtId="0" fontId="62" fillId="0" borderId="26" xfId="0" applyFont="1" applyBorder="1" applyAlignment="1">
      <alignment horizontal="left" vertical="center" wrapText="1" indent="1"/>
    </xf>
    <xf numFmtId="0" fontId="62" fillId="0" borderId="27" xfId="0" applyFont="1" applyBorder="1" applyAlignment="1">
      <alignment horizontal="left" vertical="center" wrapText="1" indent="1"/>
    </xf>
    <xf numFmtId="0" fontId="62" fillId="0" borderId="6" xfId="0" applyFont="1" applyBorder="1" applyAlignment="1">
      <alignment horizontal="left" vertical="center" wrapText="1" indent="1"/>
    </xf>
    <xf numFmtId="0" fontId="62" fillId="0" borderId="21" xfId="0" applyFont="1" applyBorder="1" applyAlignment="1">
      <alignment horizontal="center" vertical="center"/>
    </xf>
    <xf numFmtId="0" fontId="62" fillId="0" borderId="22" xfId="0" applyFont="1" applyBorder="1" applyAlignment="1">
      <alignment horizontal="left" vertical="center" wrapText="1" indent="1"/>
    </xf>
    <xf numFmtId="0" fontId="62" fillId="0" borderId="23" xfId="0" applyFont="1" applyBorder="1" applyAlignment="1">
      <alignment horizontal="left" vertical="center" wrapText="1" indent="1"/>
    </xf>
    <xf numFmtId="0" fontId="62" fillId="0" borderId="24" xfId="0" applyFont="1" applyBorder="1" applyAlignment="1">
      <alignment horizontal="left" vertical="center" wrapText="1" indent="1"/>
    </xf>
  </cellXfs>
  <cellStyles count="5">
    <cellStyle name="Normal" xfId="0" builtinId="0"/>
    <cellStyle name="Normal 2" xfId="2" xr:uid="{3339F598-5701-44DC-AD4D-6FCA06AF3F7F}"/>
    <cellStyle name="Normal 2 2" xfId="4" xr:uid="{610BBD07-9988-4C87-9CA3-0599D4751FCA}"/>
    <cellStyle name="Normal 3" xfId="3" xr:uid="{978618A8-B92C-4C69-B0D3-4532AC3F1960}"/>
    <cellStyle name="Normal 4" xfId="1" xr:uid="{34855222-CAC8-4AC9-AE4D-91430C56D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6381-D6B3-4F8F-B542-C1E80F66F20D}">
  <sheetPr>
    <pageSetUpPr fitToPage="1"/>
  </sheetPr>
  <dimension ref="A1:M163"/>
  <sheetViews>
    <sheetView showZeros="0" tabSelected="1" zoomScale="150" zoomScaleNormal="150" workbookViewId="0">
      <pane ySplit="2" topLeftCell="A148" activePane="bottomLeft" state="frozen"/>
      <selection pane="bottomLeft" activeCell="G166" sqref="G166"/>
    </sheetView>
  </sheetViews>
  <sheetFormatPr defaultColWidth="9.109375" defaultRowHeight="15" customHeight="1" x14ac:dyDescent="0.25"/>
  <cols>
    <col min="1" max="1" width="5" style="173" customWidth="1"/>
    <col min="2" max="2" width="11.6640625" style="1" customWidth="1"/>
    <col min="3" max="3" width="13.21875" style="1" customWidth="1"/>
    <col min="4" max="4" width="11.6640625" style="1" customWidth="1"/>
    <col min="5" max="5" width="12.88671875" style="1" customWidth="1"/>
    <col min="6" max="7" width="11.6640625" style="1" customWidth="1"/>
    <col min="8" max="8" width="13.6640625" style="1" customWidth="1"/>
    <col min="9" max="9" width="13.6640625" style="81" customWidth="1"/>
    <col min="10" max="10" width="6.6640625" style="1" customWidth="1"/>
    <col min="11" max="11" width="18.109375" style="1" customWidth="1"/>
    <col min="12" max="12" width="10.5546875" style="1" customWidth="1"/>
    <col min="13" max="13" width="10.88671875" style="1" customWidth="1"/>
    <col min="14" max="16384" width="9.109375" style="1"/>
  </cols>
  <sheetData>
    <row r="1" spans="1:12" ht="18.600000000000001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</row>
    <row r="2" spans="1:12" ht="25.2" customHeight="1" thickBot="1" x14ac:dyDescent="0.3">
      <c r="A2" s="200" t="s">
        <v>1</v>
      </c>
      <c r="B2" s="201"/>
      <c r="C2" s="201"/>
      <c r="D2" s="201"/>
      <c r="E2" s="201"/>
      <c r="F2" s="201"/>
      <c r="G2" s="201"/>
      <c r="H2" s="201"/>
      <c r="I2" s="201"/>
    </row>
    <row r="3" spans="1:12" s="5" customFormat="1" ht="16.8" customHeight="1" x14ac:dyDescent="0.25">
      <c r="A3" s="202" t="s">
        <v>2</v>
      </c>
      <c r="B3" s="203"/>
      <c r="C3" s="203"/>
      <c r="D3" s="203"/>
      <c r="E3" s="203"/>
      <c r="F3" s="203"/>
      <c r="G3" s="2"/>
      <c r="H3" s="3" t="s">
        <v>3</v>
      </c>
      <c r="I3" s="4" t="s">
        <v>4</v>
      </c>
      <c r="K3" s="6"/>
    </row>
    <row r="4" spans="1:12" ht="14.4" customHeight="1" thickBot="1" x14ac:dyDescent="0.35">
      <c r="A4" s="204" t="s">
        <v>5</v>
      </c>
      <c r="B4" s="205"/>
      <c r="C4" s="205"/>
      <c r="D4" s="205"/>
      <c r="E4" s="205"/>
      <c r="F4" s="205"/>
      <c r="G4" s="7">
        <v>21941</v>
      </c>
      <c r="H4" s="8"/>
      <c r="I4" s="9"/>
      <c r="K4" s="10"/>
      <c r="L4" s="5"/>
    </row>
    <row r="5" spans="1:12" ht="15" customHeight="1" x14ac:dyDescent="0.25">
      <c r="A5" s="11"/>
      <c r="B5" s="12" t="s">
        <v>6</v>
      </c>
      <c r="C5" s="13"/>
      <c r="D5" s="13"/>
      <c r="E5" s="13"/>
      <c r="F5" s="13"/>
      <c r="G5" s="14">
        <f>H4-I4</f>
        <v>0</v>
      </c>
      <c r="H5" s="15"/>
      <c r="I5" s="16"/>
      <c r="K5" s="5"/>
      <c r="L5" s="5"/>
    </row>
    <row r="6" spans="1:12" ht="15" customHeight="1" x14ac:dyDescent="0.25">
      <c r="A6" s="17"/>
      <c r="B6" s="18"/>
      <c r="C6" s="19" t="s">
        <v>7</v>
      </c>
      <c r="G6" s="20"/>
      <c r="H6" s="16"/>
      <c r="I6" s="16"/>
      <c r="K6" s="5"/>
      <c r="L6" s="5"/>
    </row>
    <row r="7" spans="1:12" ht="15" customHeight="1" x14ac:dyDescent="0.25">
      <c r="A7" s="17"/>
      <c r="B7" s="18"/>
      <c r="C7" s="19" t="s">
        <v>8</v>
      </c>
      <c r="G7" s="20"/>
      <c r="H7" s="16"/>
      <c r="I7" s="16"/>
      <c r="K7" s="5"/>
      <c r="L7" s="5"/>
    </row>
    <row r="8" spans="1:12" ht="15" customHeight="1" x14ac:dyDescent="0.25">
      <c r="A8" s="17"/>
      <c r="B8" s="18"/>
      <c r="C8" s="19" t="s">
        <v>9</v>
      </c>
      <c r="G8" s="21"/>
      <c r="H8" s="16"/>
      <c r="I8" s="16"/>
      <c r="K8" s="5"/>
      <c r="L8" s="5"/>
    </row>
    <row r="9" spans="1:12" ht="15" customHeight="1" x14ac:dyDescent="0.25">
      <c r="A9" s="17"/>
      <c r="B9" s="22"/>
      <c r="C9" s="19"/>
      <c r="F9" s="23" t="s">
        <v>10</v>
      </c>
      <c r="G9" s="24">
        <f>SUM(G6:G8)</f>
        <v>0</v>
      </c>
      <c r="H9" s="16"/>
      <c r="I9" s="16"/>
      <c r="K9" s="5"/>
      <c r="L9" s="5"/>
    </row>
    <row r="10" spans="1:12" ht="15" customHeight="1" x14ac:dyDescent="0.25">
      <c r="A10" s="17"/>
      <c r="B10" s="25"/>
      <c r="C10" s="26" t="s">
        <v>11</v>
      </c>
      <c r="G10" s="21"/>
      <c r="H10" s="16"/>
      <c r="I10" s="16"/>
      <c r="K10" s="5"/>
      <c r="L10" s="5"/>
    </row>
    <row r="11" spans="1:12" ht="15" customHeight="1" x14ac:dyDescent="0.25">
      <c r="A11" s="17"/>
      <c r="B11" s="22"/>
      <c r="F11" s="27" t="s">
        <v>12</v>
      </c>
      <c r="G11" s="28">
        <f>G9+G10</f>
        <v>0</v>
      </c>
      <c r="H11" s="16"/>
      <c r="I11" s="16"/>
      <c r="K11" s="5"/>
      <c r="L11" s="5"/>
    </row>
    <row r="12" spans="1:12" ht="15" customHeight="1" x14ac:dyDescent="0.25">
      <c r="A12" s="17"/>
      <c r="B12" s="18"/>
      <c r="C12" s="29" t="s">
        <v>13</v>
      </c>
      <c r="G12" s="21">
        <f>IF(G11&gt;50000,50000,0)*-1</f>
        <v>0</v>
      </c>
      <c r="H12" s="16">
        <f>G11+G12</f>
        <v>0</v>
      </c>
      <c r="I12" s="16">
        <f>G9</f>
        <v>0</v>
      </c>
      <c r="K12" s="5"/>
      <c r="L12" s="5"/>
    </row>
    <row r="13" spans="1:12" ht="15" customHeight="1" x14ac:dyDescent="0.25">
      <c r="A13" s="17"/>
      <c r="B13" s="30" t="s">
        <v>14</v>
      </c>
      <c r="H13" s="16"/>
      <c r="I13" s="16"/>
      <c r="K13" s="5"/>
      <c r="L13" s="5"/>
    </row>
    <row r="14" spans="1:12" ht="15" customHeight="1" x14ac:dyDescent="0.25">
      <c r="A14" s="17"/>
      <c r="B14" s="31" t="s">
        <v>15</v>
      </c>
      <c r="C14" s="1" t="s">
        <v>16</v>
      </c>
      <c r="E14" s="26"/>
      <c r="F14" s="32"/>
      <c r="H14" s="16"/>
      <c r="I14" s="16"/>
      <c r="K14" s="5"/>
      <c r="L14" s="5"/>
    </row>
    <row r="15" spans="1:12" ht="15" customHeight="1" x14ac:dyDescent="0.25">
      <c r="A15" s="17"/>
      <c r="B15" s="31"/>
      <c r="C15" s="29" t="s">
        <v>17</v>
      </c>
      <c r="E15" s="33"/>
      <c r="F15" s="32"/>
      <c r="G15" s="34"/>
      <c r="H15" s="16"/>
      <c r="I15" s="16"/>
      <c r="K15" s="5"/>
      <c r="L15" s="5"/>
    </row>
    <row r="16" spans="1:12" ht="15" customHeight="1" x14ac:dyDescent="0.25">
      <c r="A16" s="17"/>
      <c r="B16" s="31"/>
      <c r="E16" s="33"/>
      <c r="H16" s="16"/>
      <c r="I16" s="16"/>
      <c r="K16" s="5"/>
      <c r="L16" s="5"/>
    </row>
    <row r="17" spans="1:12" ht="15" customHeight="1" x14ac:dyDescent="0.25">
      <c r="A17" s="17"/>
      <c r="B17" s="31" t="s">
        <v>18</v>
      </c>
      <c r="C17" s="19" t="s">
        <v>19</v>
      </c>
      <c r="D17" s="19"/>
      <c r="F17" s="6"/>
      <c r="G17" s="28">
        <v>480000</v>
      </c>
      <c r="H17" s="16"/>
      <c r="I17" s="16"/>
      <c r="K17" s="5"/>
      <c r="L17" s="5"/>
    </row>
    <row r="18" spans="1:12" ht="15" customHeight="1" x14ac:dyDescent="0.25">
      <c r="A18" s="17"/>
      <c r="C18" s="35" t="s">
        <v>20</v>
      </c>
      <c r="D18" s="19"/>
      <c r="E18" s="36"/>
      <c r="F18" s="32">
        <f>+F14*2</f>
        <v>0</v>
      </c>
      <c r="G18" s="37">
        <v>-24000</v>
      </c>
      <c r="H18" s="16"/>
      <c r="I18" s="16"/>
      <c r="K18" s="5"/>
      <c r="L18" s="5"/>
    </row>
    <row r="19" spans="1:12" ht="15" customHeight="1" x14ac:dyDescent="0.25">
      <c r="A19" s="17"/>
      <c r="C19" s="35"/>
      <c r="D19" s="19"/>
      <c r="E19" s="36"/>
      <c r="F19" s="6"/>
      <c r="G19" s="1">
        <f>G17+G18</f>
        <v>456000</v>
      </c>
      <c r="H19" s="16"/>
      <c r="I19" s="16"/>
      <c r="K19" s="5"/>
      <c r="L19" s="5"/>
    </row>
    <row r="20" spans="1:12" ht="15" customHeight="1" x14ac:dyDescent="0.25">
      <c r="A20" s="17"/>
      <c r="C20" s="29" t="s">
        <v>21</v>
      </c>
      <c r="D20" s="19"/>
      <c r="E20" s="36"/>
      <c r="F20" s="18">
        <f>G19*30%</f>
        <v>136800</v>
      </c>
      <c r="H20" s="16"/>
      <c r="I20" s="16"/>
      <c r="K20" s="5"/>
      <c r="L20" s="5"/>
    </row>
    <row r="21" spans="1:12" ht="15" customHeight="1" x14ac:dyDescent="0.25">
      <c r="A21" s="17"/>
      <c r="B21" s="18"/>
      <c r="D21" s="26" t="s">
        <v>22</v>
      </c>
      <c r="F21" s="38">
        <v>600000</v>
      </c>
      <c r="G21" s="39">
        <f>(F20+F21)*-1</f>
        <v>-736800</v>
      </c>
      <c r="H21" s="16"/>
      <c r="I21" s="16">
        <f>+H21</f>
        <v>0</v>
      </c>
      <c r="K21" s="5"/>
      <c r="L21" s="5"/>
    </row>
    <row r="22" spans="1:12" ht="15" customHeight="1" x14ac:dyDescent="0.25">
      <c r="A22" s="17"/>
      <c r="B22" s="18"/>
      <c r="D22" s="26"/>
      <c r="F22" s="18" t="s">
        <v>23</v>
      </c>
      <c r="G22" s="1">
        <v>80800</v>
      </c>
      <c r="H22" s="16">
        <f>-200000</f>
        <v>-200000</v>
      </c>
      <c r="I22" s="16">
        <f>+H22</f>
        <v>-200000</v>
      </c>
      <c r="K22" s="5"/>
      <c r="L22" s="5"/>
    </row>
    <row r="23" spans="1:12" ht="15" customHeight="1" x14ac:dyDescent="0.25">
      <c r="A23" s="17"/>
      <c r="B23" s="30" t="s">
        <v>24</v>
      </c>
      <c r="C23" s="40"/>
      <c r="E23" s="41"/>
      <c r="H23" s="16"/>
      <c r="I23" s="16"/>
      <c r="K23" s="5"/>
      <c r="L23" s="5"/>
    </row>
    <row r="24" spans="1:12" ht="15" customHeight="1" x14ac:dyDescent="0.25">
      <c r="A24" s="17"/>
      <c r="C24" s="40" t="s">
        <v>25</v>
      </c>
      <c r="E24" s="41"/>
      <c r="H24" s="16">
        <f>+G136</f>
        <v>3160800</v>
      </c>
      <c r="I24" s="16">
        <f>+H24</f>
        <v>3160800</v>
      </c>
      <c r="K24" s="5"/>
      <c r="L24" s="5"/>
    </row>
    <row r="25" spans="1:12" ht="17.399999999999999" customHeight="1" x14ac:dyDescent="0.25">
      <c r="A25" s="17"/>
      <c r="B25" s="42" t="s">
        <v>26</v>
      </c>
      <c r="C25" s="43"/>
      <c r="D25" s="43"/>
      <c r="E25" s="43"/>
      <c r="F25" s="43"/>
      <c r="G25" s="43"/>
      <c r="H25" s="16"/>
      <c r="I25" s="16"/>
      <c r="K25" s="5"/>
      <c r="L25" s="5"/>
    </row>
    <row r="26" spans="1:12" ht="15" customHeight="1" x14ac:dyDescent="0.25">
      <c r="A26" s="17"/>
      <c r="B26" s="43"/>
      <c r="C26" s="44" t="s">
        <v>27</v>
      </c>
      <c r="D26" s="43"/>
      <c r="F26" s="32"/>
      <c r="G26" s="45"/>
      <c r="H26" s="16"/>
      <c r="I26" s="16"/>
      <c r="K26" s="5"/>
      <c r="L26" s="5"/>
    </row>
    <row r="27" spans="1:12" ht="15" customHeight="1" x14ac:dyDescent="0.25">
      <c r="A27" s="17"/>
      <c r="B27" s="31" t="s">
        <v>28</v>
      </c>
      <c r="C27" s="44" t="s">
        <v>29</v>
      </c>
      <c r="D27" s="43"/>
      <c r="E27" s="40" t="s">
        <v>30</v>
      </c>
      <c r="F27" s="46">
        <v>900000</v>
      </c>
      <c r="G27" s="45"/>
      <c r="H27" s="16"/>
      <c r="I27" s="16"/>
      <c r="K27" s="5"/>
      <c r="L27" s="5"/>
    </row>
    <row r="28" spans="1:12" ht="15" customHeight="1" x14ac:dyDescent="0.25">
      <c r="A28" s="17"/>
      <c r="B28" s="43"/>
      <c r="D28" s="43"/>
      <c r="E28" s="18" t="s">
        <v>31</v>
      </c>
      <c r="F28" s="47">
        <f>ROUND(300000*301/167,0)</f>
        <v>540719</v>
      </c>
      <c r="G28" s="34">
        <f>F27-F28</f>
        <v>359281</v>
      </c>
      <c r="H28" s="16">
        <f>G26+G28</f>
        <v>359281</v>
      </c>
      <c r="I28" s="16">
        <f>+H28</f>
        <v>359281</v>
      </c>
      <c r="K28" s="5"/>
      <c r="L28" s="5"/>
    </row>
    <row r="29" spans="1:12" ht="15" customHeight="1" x14ac:dyDescent="0.25">
      <c r="A29" s="17"/>
      <c r="B29" s="30" t="s">
        <v>32</v>
      </c>
      <c r="H29" s="16"/>
      <c r="I29" s="16"/>
    </row>
    <row r="30" spans="1:12" ht="15" customHeight="1" x14ac:dyDescent="0.25">
      <c r="A30" s="17"/>
      <c r="B30" s="48"/>
      <c r="C30" s="40" t="s">
        <v>33</v>
      </c>
      <c r="D30" s="18"/>
      <c r="E30" s="18"/>
      <c r="G30" s="28">
        <v>21000</v>
      </c>
      <c r="H30" s="16"/>
      <c r="I30" s="16"/>
    </row>
    <row r="31" spans="1:12" ht="15" customHeight="1" x14ac:dyDescent="0.25">
      <c r="A31" s="17"/>
      <c r="B31" s="48"/>
      <c r="C31" s="40" t="s">
        <v>34</v>
      </c>
      <c r="F31" s="40"/>
      <c r="G31" s="28">
        <v>150000</v>
      </c>
      <c r="H31" s="16"/>
      <c r="I31" s="16"/>
    </row>
    <row r="32" spans="1:12" ht="15" customHeight="1" x14ac:dyDescent="0.25">
      <c r="A32" s="17"/>
      <c r="B32" s="49"/>
      <c r="C32" s="18" t="s">
        <v>35</v>
      </c>
      <c r="G32" s="28">
        <v>31500</v>
      </c>
      <c r="H32" s="16"/>
      <c r="I32" s="16"/>
    </row>
    <row r="33" spans="1:13" ht="15" customHeight="1" x14ac:dyDescent="0.25">
      <c r="A33" s="17"/>
      <c r="B33" s="48"/>
      <c r="C33" s="18" t="s">
        <v>36</v>
      </c>
      <c r="F33" s="32"/>
      <c r="G33" s="50">
        <v>75000</v>
      </c>
      <c r="H33" s="16">
        <f>SUM(G30:G33)</f>
        <v>277500</v>
      </c>
      <c r="I33" s="16">
        <f>+H33</f>
        <v>277500</v>
      </c>
    </row>
    <row r="34" spans="1:13" ht="15" customHeight="1" x14ac:dyDescent="0.25">
      <c r="A34" s="17"/>
      <c r="B34" s="30" t="s">
        <v>37</v>
      </c>
      <c r="G34" s="28"/>
      <c r="H34" s="16"/>
      <c r="I34" s="16"/>
    </row>
    <row r="35" spans="1:13" ht="15" customHeight="1" x14ac:dyDescent="0.25">
      <c r="A35" s="17"/>
      <c r="B35" s="30"/>
      <c r="C35" s="51" t="s">
        <v>38</v>
      </c>
      <c r="E35" s="52">
        <v>840000</v>
      </c>
      <c r="G35" s="28"/>
      <c r="H35" s="16"/>
      <c r="I35" s="16"/>
    </row>
    <row r="36" spans="1:13" ht="15" customHeight="1" x14ac:dyDescent="0.25">
      <c r="A36" s="17"/>
      <c r="B36" s="22"/>
      <c r="C36" s="51" t="s">
        <v>39</v>
      </c>
      <c r="E36" s="52">
        <v>192000</v>
      </c>
      <c r="G36" s="28"/>
      <c r="H36" s="16"/>
      <c r="I36" s="16"/>
    </row>
    <row r="37" spans="1:13" ht="18.75" customHeight="1" x14ac:dyDescent="0.25">
      <c r="A37" s="17"/>
      <c r="B37" s="30" t="s">
        <v>40</v>
      </c>
      <c r="E37" s="6"/>
      <c r="F37" s="6"/>
      <c r="G37" s="53"/>
      <c r="H37" s="54">
        <f>SUM(H6:H34)</f>
        <v>3597581</v>
      </c>
      <c r="I37" s="54">
        <f>SUM(I6:I34)</f>
        <v>3597581</v>
      </c>
    </row>
    <row r="38" spans="1:13" ht="15" customHeight="1" x14ac:dyDescent="0.25">
      <c r="A38" s="17"/>
      <c r="B38" s="55" t="s">
        <v>41</v>
      </c>
      <c r="H38" s="16"/>
      <c r="I38" s="16"/>
    </row>
    <row r="39" spans="1:13" ht="15" customHeight="1" x14ac:dyDescent="0.25">
      <c r="A39" s="17"/>
      <c r="B39" s="56"/>
      <c r="C39" s="57" t="s">
        <v>42</v>
      </c>
      <c r="E39" s="32">
        <v>120000</v>
      </c>
      <c r="F39" s="32">
        <v>100000</v>
      </c>
      <c r="G39" s="1">
        <v>150000</v>
      </c>
      <c r="H39" s="16"/>
      <c r="I39" s="16"/>
    </row>
    <row r="40" spans="1:13" ht="15" hidden="1" customHeight="1" x14ac:dyDescent="0.25">
      <c r="A40" s="17"/>
      <c r="B40" s="56"/>
      <c r="C40" s="57" t="s">
        <v>43</v>
      </c>
      <c r="F40" s="30"/>
      <c r="G40" s="45"/>
      <c r="H40" s="16"/>
      <c r="I40" s="16"/>
    </row>
    <row r="41" spans="1:13" ht="15" hidden="1" customHeight="1" x14ac:dyDescent="0.25">
      <c r="A41" s="17"/>
      <c r="B41" s="56"/>
      <c r="C41" s="57" t="s">
        <v>44</v>
      </c>
      <c r="F41" s="30"/>
      <c r="G41" s="45"/>
      <c r="H41" s="16"/>
      <c r="I41" s="16"/>
    </row>
    <row r="42" spans="1:13" ht="15" customHeight="1" x14ac:dyDescent="0.25">
      <c r="A42" s="17"/>
      <c r="B42" s="56"/>
      <c r="C42" s="57" t="s">
        <v>45</v>
      </c>
      <c r="F42" s="32">
        <v>52500</v>
      </c>
      <c r="G42" s="45">
        <v>50000</v>
      </c>
      <c r="H42" s="16"/>
      <c r="I42" s="16"/>
    </row>
    <row r="43" spans="1:13" ht="15" customHeight="1" x14ac:dyDescent="0.25">
      <c r="A43" s="17"/>
      <c r="C43" s="57" t="s">
        <v>46</v>
      </c>
      <c r="D43" s="40"/>
      <c r="E43" s="58"/>
      <c r="F43" s="6"/>
      <c r="G43" s="45">
        <v>50000</v>
      </c>
      <c r="H43" s="16"/>
      <c r="I43" s="16"/>
      <c r="K43" s="40"/>
      <c r="L43" s="59" t="s">
        <v>47</v>
      </c>
      <c r="M43" s="59" t="s">
        <v>48</v>
      </c>
    </row>
    <row r="44" spans="1:13" ht="15" customHeight="1" x14ac:dyDescent="0.25">
      <c r="A44" s="17"/>
      <c r="C44" s="57"/>
      <c r="D44" s="40"/>
      <c r="E44" s="6"/>
      <c r="F44" s="6"/>
      <c r="G44" s="60"/>
      <c r="H44" s="16">
        <f>SUM(G38:G44)</f>
        <v>250000</v>
      </c>
      <c r="I44" s="61"/>
      <c r="K44" s="59" t="s">
        <v>49</v>
      </c>
      <c r="L44" s="62">
        <v>250000</v>
      </c>
      <c r="M44" s="62">
        <v>250000</v>
      </c>
    </row>
    <row r="45" spans="1:13" ht="21.75" customHeight="1" thickBot="1" x14ac:dyDescent="0.3">
      <c r="A45" s="17"/>
      <c r="B45" s="63" t="s">
        <v>50</v>
      </c>
      <c r="E45" s="64"/>
      <c r="F45" s="51" t="s">
        <v>51</v>
      </c>
      <c r="G45" s="46"/>
      <c r="H45" s="65">
        <f>IF((H37-H44)&lt;0,0,(H37-H44))</f>
        <v>3347581</v>
      </c>
      <c r="I45" s="65">
        <f>IF((I37-I44)&lt;0,0,(I37-I44))</f>
        <v>3597581</v>
      </c>
      <c r="K45" s="66" t="s">
        <v>52</v>
      </c>
      <c r="L45" s="67">
        <v>300000</v>
      </c>
      <c r="M45" s="67">
        <v>250000</v>
      </c>
    </row>
    <row r="46" spans="1:13" ht="15" customHeight="1" thickTop="1" x14ac:dyDescent="0.25">
      <c r="A46" s="17"/>
      <c r="B46" s="30" t="s">
        <v>53</v>
      </c>
      <c r="E46" s="68"/>
      <c r="F46" s="69"/>
      <c r="G46" s="59"/>
      <c r="H46" s="70"/>
      <c r="I46" s="70"/>
      <c r="K46" s="59" t="s">
        <v>54</v>
      </c>
      <c r="L46" s="71">
        <f>+M46</f>
        <v>0.05</v>
      </c>
      <c r="M46" s="71">
        <v>0.05</v>
      </c>
    </row>
    <row r="47" spans="1:13" ht="15" customHeight="1" x14ac:dyDescent="0.25">
      <c r="A47" s="17"/>
      <c r="B47" s="72" t="str">
        <f>IF(G4&lt;22373,"Sr Citizen",0)</f>
        <v>Sr Citizen</v>
      </c>
      <c r="C47" s="40" t="s">
        <v>55</v>
      </c>
      <c r="E47" s="73">
        <f>H45-E49-E48</f>
        <v>2988300</v>
      </c>
      <c r="F47" s="59" t="s">
        <v>56</v>
      </c>
      <c r="G47" s="74">
        <f>IF(+B47="Sr Citizen",ROUND(IF(E47&gt;1000000,(((E47-1000000)*0.3)+110000),IF(E47&gt;500000,(((E47-500000)*0.2)+10000),IF(E47&gt;300000,((E47-300000)*0.05),0))),0),ROUND(IF(E47&gt;1000000,(((E47-1000000)*0.3)+112500),IF(E47&gt;500000,(((E47-500000)*0.2)+12500),IF(E47&gt;250000,((E47-250000)*0.05),0))),0))</f>
        <v>706490</v>
      </c>
      <c r="H47" s="1">
        <f>+G47</f>
        <v>706490</v>
      </c>
      <c r="I47" s="70">
        <v>708990</v>
      </c>
      <c r="J47" s="75">
        <f>I45-359281</f>
        <v>3238300</v>
      </c>
      <c r="K47" s="76" t="s">
        <v>57</v>
      </c>
      <c r="L47" s="71">
        <v>0.2</v>
      </c>
      <c r="M47" s="71">
        <v>0.1</v>
      </c>
    </row>
    <row r="48" spans="1:13" ht="15" hidden="1" customHeight="1" x14ac:dyDescent="0.25">
      <c r="A48" s="17"/>
      <c r="B48" s="72"/>
      <c r="C48" s="40"/>
      <c r="E48" s="73">
        <f>+G26</f>
        <v>0</v>
      </c>
      <c r="F48" s="71"/>
      <c r="G48" s="76">
        <f>F48*E48</f>
        <v>0</v>
      </c>
      <c r="H48" s="70"/>
      <c r="I48" s="70">
        <f>+G48</f>
        <v>0</v>
      </c>
    </row>
    <row r="49" spans="1:13" ht="15" customHeight="1" x14ac:dyDescent="0.25">
      <c r="A49" s="17"/>
      <c r="B49" s="77"/>
      <c r="C49" s="40" t="s">
        <v>58</v>
      </c>
      <c r="E49" s="73">
        <f>+G28</f>
        <v>359281</v>
      </c>
      <c r="F49" s="71">
        <v>0.2</v>
      </c>
      <c r="G49" s="78">
        <f>ROUND((E49)*F49,0)</f>
        <v>71856</v>
      </c>
      <c r="H49" s="70">
        <f>+G49</f>
        <v>71856</v>
      </c>
      <c r="I49" s="70">
        <f>+G49</f>
        <v>71856</v>
      </c>
      <c r="J49" s="75">
        <f>+E49</f>
        <v>359281</v>
      </c>
      <c r="K49" s="76" t="s">
        <v>59</v>
      </c>
      <c r="L49" s="71">
        <v>0.2</v>
      </c>
      <c r="M49" s="71">
        <v>0.15</v>
      </c>
    </row>
    <row r="50" spans="1:13" ht="15" customHeight="1" x14ac:dyDescent="0.25">
      <c r="A50" s="17"/>
      <c r="B50" s="40" t="s">
        <v>60</v>
      </c>
      <c r="D50" s="79"/>
      <c r="E50" s="6"/>
      <c r="G50" s="68"/>
      <c r="H50" s="70">
        <f>(IF(H45&gt;500000,0,IF((G47+H49)&gt;12500,12500,(G47+H49))))*-1</f>
        <v>0</v>
      </c>
      <c r="I50" s="70">
        <f>(IF(I45&gt;500000,0,IF((I47+I49)&gt;12500,12500,(I47+I49))))*-1</f>
        <v>0</v>
      </c>
      <c r="J50" s="80"/>
      <c r="K50" s="76" t="s">
        <v>61</v>
      </c>
      <c r="L50" s="71">
        <v>0.3</v>
      </c>
      <c r="M50" s="71">
        <v>0.2</v>
      </c>
    </row>
    <row r="51" spans="1:13" ht="15" customHeight="1" thickBot="1" x14ac:dyDescent="0.3">
      <c r="A51" s="17"/>
      <c r="B51" s="40" t="s">
        <v>62</v>
      </c>
      <c r="C51" s="40"/>
      <c r="D51" s="79"/>
      <c r="E51" s="6"/>
      <c r="G51" s="81"/>
      <c r="H51" s="82">
        <f>IF(H45&gt;10000000,(G47+H49)*15%,IF(G47&gt;5000000,(G47+H49)*10%,0))</f>
        <v>0</v>
      </c>
      <c r="I51" s="82">
        <f>IF(I45&gt;10000000,(I47+I49)*15%,IF(I47&gt;5000000,(I47+I49)*10%,0))</f>
        <v>0</v>
      </c>
      <c r="K51" s="76" t="s">
        <v>63</v>
      </c>
      <c r="L51" s="71">
        <v>0.3</v>
      </c>
      <c r="M51" s="71">
        <v>0.25</v>
      </c>
    </row>
    <row r="52" spans="1:13" ht="15" customHeight="1" x14ac:dyDescent="0.25">
      <c r="A52" s="17"/>
      <c r="C52" s="40"/>
      <c r="D52" s="79"/>
      <c r="E52" s="6"/>
      <c r="G52" s="81"/>
      <c r="H52" s="83">
        <f>SUM(H47:H51)</f>
        <v>778346</v>
      </c>
      <c r="I52" s="83">
        <f>SUM(I47:I51)</f>
        <v>780846</v>
      </c>
      <c r="K52" s="76" t="s">
        <v>63</v>
      </c>
      <c r="L52" s="71">
        <v>0.3</v>
      </c>
      <c r="M52" s="71">
        <v>0.25</v>
      </c>
    </row>
    <row r="53" spans="1:13" ht="15" customHeight="1" x14ac:dyDescent="0.25">
      <c r="A53" s="17"/>
      <c r="B53" s="40" t="s">
        <v>64</v>
      </c>
      <c r="D53" s="79"/>
      <c r="E53" s="6"/>
      <c r="G53" s="6"/>
      <c r="H53" s="84">
        <f>ROUND((H52)*0.04,0)</f>
        <v>31134</v>
      </c>
      <c r="I53" s="84">
        <f>ROUND((I52)*0.04,0)</f>
        <v>31234</v>
      </c>
      <c r="K53" s="59" t="s">
        <v>65</v>
      </c>
      <c r="L53" s="71">
        <v>0.3</v>
      </c>
      <c r="M53" s="71">
        <v>0.3</v>
      </c>
    </row>
    <row r="54" spans="1:13" ht="15" customHeight="1" x14ac:dyDescent="0.25">
      <c r="A54" s="17"/>
      <c r="B54" s="30" t="s">
        <v>66</v>
      </c>
      <c r="D54" s="79"/>
      <c r="E54" s="51"/>
      <c r="G54" s="6"/>
      <c r="H54" s="61">
        <f>SUM(H52:H53)</f>
        <v>809480</v>
      </c>
      <c r="I54" s="61">
        <f>SUM(I52:I53)</f>
        <v>812080</v>
      </c>
      <c r="K54" s="40"/>
      <c r="L54" s="40"/>
      <c r="M54" s="40"/>
    </row>
    <row r="55" spans="1:13" ht="15" customHeight="1" x14ac:dyDescent="0.25">
      <c r="A55" s="17"/>
      <c r="B55" s="85" t="s">
        <v>67</v>
      </c>
      <c r="D55" s="79"/>
      <c r="E55" s="51"/>
      <c r="G55" s="6"/>
      <c r="H55" s="83">
        <f>+H73</f>
        <v>433</v>
      </c>
      <c r="I55" s="61"/>
      <c r="K55" s="40"/>
      <c r="L55" s="40"/>
      <c r="M55" s="40"/>
    </row>
    <row r="56" spans="1:13" ht="15" customHeight="1" x14ac:dyDescent="0.25">
      <c r="A56" s="17"/>
      <c r="B56" s="86" t="s">
        <v>68</v>
      </c>
      <c r="C56" s="6"/>
      <c r="D56" s="6"/>
      <c r="E56" s="6"/>
      <c r="F56" s="76" t="s">
        <v>69</v>
      </c>
      <c r="G56" s="6"/>
      <c r="H56" s="87"/>
      <c r="I56" s="88"/>
      <c r="K56" s="59"/>
      <c r="L56" s="40"/>
      <c r="M56" s="40"/>
    </row>
    <row r="57" spans="1:13" ht="15" customHeight="1" x14ac:dyDescent="0.25">
      <c r="A57" s="17"/>
      <c r="B57" s="30" t="s">
        <v>70</v>
      </c>
      <c r="C57" s="6"/>
      <c r="D57" s="6"/>
      <c r="E57" s="6"/>
      <c r="F57" s="6"/>
      <c r="G57" s="6"/>
      <c r="H57" s="16">
        <f>H54+H56+H55</f>
        <v>809913</v>
      </c>
      <c r="I57" s="89">
        <f>I54+I56</f>
        <v>812080</v>
      </c>
      <c r="K57" s="66"/>
    </row>
    <row r="58" spans="1:13" ht="15" customHeight="1" x14ac:dyDescent="0.25">
      <c r="A58" s="17"/>
      <c r="B58" s="30" t="s">
        <v>71</v>
      </c>
      <c r="C58" s="6"/>
      <c r="D58" s="6"/>
      <c r="E58" s="6"/>
      <c r="F58" s="6"/>
      <c r="G58" s="6"/>
      <c r="H58" s="16"/>
      <c r="I58" s="89"/>
      <c r="K58" s="59"/>
    </row>
    <row r="59" spans="1:13" ht="15" customHeight="1" x14ac:dyDescent="0.3">
      <c r="A59" s="17"/>
      <c r="B59" s="90"/>
      <c r="C59" s="206" t="s">
        <v>72</v>
      </c>
      <c r="D59" s="206"/>
      <c r="E59" s="32">
        <v>400000</v>
      </c>
      <c r="F59" s="32">
        <v>300000</v>
      </c>
      <c r="G59" s="28">
        <v>700000</v>
      </c>
      <c r="H59" s="16"/>
      <c r="I59" s="89"/>
      <c r="K59" s="59"/>
    </row>
    <row r="60" spans="1:13" ht="15" customHeight="1" x14ac:dyDescent="0.3">
      <c r="A60" s="17"/>
      <c r="B60" s="90"/>
      <c r="C60" s="206" t="s">
        <v>73</v>
      </c>
      <c r="D60" s="206"/>
      <c r="E60" s="206"/>
      <c r="F60" s="91"/>
      <c r="G60" s="28">
        <v>48000</v>
      </c>
      <c r="H60" s="16"/>
      <c r="I60" s="89"/>
      <c r="K60" s="59"/>
    </row>
    <row r="61" spans="1:13" ht="15" customHeight="1" x14ac:dyDescent="0.3">
      <c r="A61" s="17"/>
      <c r="B61" s="92"/>
      <c r="C61" s="206" t="s">
        <v>74</v>
      </c>
      <c r="D61" s="206"/>
      <c r="E61" s="206"/>
      <c r="F61" s="91"/>
      <c r="G61" s="28">
        <f>G31*10%</f>
        <v>15000</v>
      </c>
      <c r="H61" s="16"/>
      <c r="I61" s="89"/>
      <c r="K61" s="76"/>
    </row>
    <row r="62" spans="1:13" ht="15" customHeight="1" x14ac:dyDescent="0.3">
      <c r="A62" s="17"/>
      <c r="B62" s="92"/>
      <c r="C62" s="206" t="s">
        <v>75</v>
      </c>
      <c r="D62" s="206"/>
      <c r="E62" s="206"/>
      <c r="F62" s="91"/>
      <c r="G62" s="28">
        <f>+G32*10%</f>
        <v>3150</v>
      </c>
      <c r="H62" s="16"/>
      <c r="I62" s="89"/>
      <c r="K62" s="76"/>
    </row>
    <row r="63" spans="1:13" ht="15" customHeight="1" thickBot="1" x14ac:dyDescent="0.35">
      <c r="A63" s="93"/>
      <c r="B63" s="94"/>
      <c r="C63" s="207" t="s">
        <v>76</v>
      </c>
      <c r="D63" s="207"/>
      <c r="E63" s="207"/>
      <c r="F63" s="207"/>
      <c r="G63" s="95">
        <v>43800</v>
      </c>
      <c r="H63" s="96">
        <f>SUM(G59:G63)</f>
        <v>809950</v>
      </c>
      <c r="I63" s="97">
        <f>+H63</f>
        <v>809950</v>
      </c>
      <c r="K63" s="76"/>
    </row>
    <row r="64" spans="1:13" ht="17.25" customHeight="1" thickBot="1" x14ac:dyDescent="0.3">
      <c r="A64" s="98"/>
      <c r="B64" s="99" t="str">
        <f>IF(H64=0,"TAX  PAYABLE / REFUND ",IF(H64&lt;0,"REFUND","TAX  PAYABLE"))</f>
        <v>REFUND</v>
      </c>
      <c r="C64" s="100"/>
      <c r="D64" s="100"/>
      <c r="E64" s="101"/>
      <c r="F64" s="102" t="s">
        <v>77</v>
      </c>
      <c r="G64" s="101"/>
      <c r="H64" s="96">
        <f>H57-H63+1</f>
        <v>-36</v>
      </c>
      <c r="I64" s="97">
        <f>ROUND((I57-I63)/10,0)*10</f>
        <v>2130</v>
      </c>
      <c r="K64" s="76"/>
    </row>
    <row r="65" spans="1:11" s="41" customFormat="1" ht="15" customHeight="1" x14ac:dyDescent="0.2">
      <c r="A65" s="103"/>
      <c r="B65" s="104"/>
      <c r="I65" s="105"/>
      <c r="K65" s="59"/>
    </row>
    <row r="66" spans="1:11" s="107" customFormat="1" ht="13.2" x14ac:dyDescent="0.25">
      <c r="A66" s="106"/>
      <c r="C66" s="108" t="s">
        <v>78</v>
      </c>
      <c r="E66" s="109"/>
      <c r="F66" s="109"/>
      <c r="G66" s="109"/>
      <c r="H66" s="110"/>
      <c r="I66" s="109"/>
      <c r="J66" s="1"/>
    </row>
    <row r="67" spans="1:11" s="107" customFormat="1" ht="13.2" x14ac:dyDescent="0.25">
      <c r="A67" s="106"/>
      <c r="C67" s="111" t="s">
        <v>79</v>
      </c>
      <c r="E67" s="109"/>
      <c r="F67" s="109"/>
      <c r="G67" s="109"/>
      <c r="H67" s="110"/>
      <c r="I67" s="109"/>
      <c r="J67" s="1"/>
    </row>
    <row r="68" spans="1:11" s="107" customFormat="1" ht="13.2" x14ac:dyDescent="0.25">
      <c r="A68" s="106"/>
      <c r="C68" s="111" t="s">
        <v>80</v>
      </c>
      <c r="E68" s="109"/>
      <c r="F68" s="109"/>
      <c r="G68" s="109"/>
      <c r="H68" s="110"/>
      <c r="I68" s="109"/>
      <c r="J68" s="1"/>
    </row>
    <row r="69" spans="1:11" s="107" customFormat="1" ht="13.2" x14ac:dyDescent="0.25">
      <c r="A69" s="106"/>
      <c r="C69" s="108" t="s">
        <v>81</v>
      </c>
      <c r="E69" s="109"/>
      <c r="F69" s="109"/>
      <c r="G69" s="109" t="s">
        <v>82</v>
      </c>
      <c r="H69" s="110"/>
      <c r="I69" s="109"/>
      <c r="J69" s="1"/>
    </row>
    <row r="70" spans="1:11" s="107" customFormat="1" ht="13.2" x14ac:dyDescent="0.25">
      <c r="A70" s="106"/>
      <c r="C70" s="112" t="s">
        <v>83</v>
      </c>
      <c r="E70" s="109"/>
      <c r="F70" s="109"/>
      <c r="G70" s="109"/>
      <c r="H70" s="110"/>
      <c r="I70" s="109"/>
      <c r="J70" s="113"/>
    </row>
    <row r="71" spans="1:11" s="107" customFormat="1" ht="13.2" x14ac:dyDescent="0.25">
      <c r="A71" s="106"/>
      <c r="B71" s="106"/>
      <c r="C71" s="112" t="s">
        <v>84</v>
      </c>
      <c r="E71" s="109"/>
      <c r="F71" s="109"/>
      <c r="G71" s="109"/>
      <c r="H71" s="110"/>
      <c r="I71" s="109"/>
    </row>
    <row r="72" spans="1:11" s="107" customFormat="1" ht="13.2" x14ac:dyDescent="0.25">
      <c r="A72" s="106"/>
      <c r="B72" s="106"/>
      <c r="C72" s="108"/>
      <c r="E72" s="109"/>
      <c r="F72" s="109"/>
      <c r="G72" s="109"/>
      <c r="H72" s="110"/>
      <c r="I72" s="109"/>
    </row>
    <row r="73" spans="1:11" s="107" customFormat="1" ht="13.2" x14ac:dyDescent="0.25">
      <c r="A73" s="106"/>
      <c r="B73" s="114" t="s">
        <v>85</v>
      </c>
      <c r="C73" s="115"/>
      <c r="D73" s="115"/>
      <c r="E73" s="115"/>
      <c r="F73" s="115"/>
      <c r="G73" s="116" t="s">
        <v>86</v>
      </c>
      <c r="H73" s="117">
        <f>H85+H100+H110</f>
        <v>433</v>
      </c>
      <c r="I73" s="109"/>
    </row>
    <row r="74" spans="1:11" s="107" customFormat="1" ht="13.2" x14ac:dyDescent="0.25">
      <c r="A74" s="106"/>
      <c r="B74" s="118" t="s">
        <v>87</v>
      </c>
      <c r="C74" s="119"/>
      <c r="D74" s="119"/>
      <c r="E74" s="119"/>
      <c r="F74" s="119"/>
      <c r="G74" s="120"/>
      <c r="H74" s="121"/>
      <c r="I74" s="109"/>
    </row>
    <row r="75" spans="1:11" s="107" customFormat="1" ht="13.2" x14ac:dyDescent="0.25">
      <c r="A75" s="106"/>
      <c r="B75" s="122" t="s">
        <v>88</v>
      </c>
      <c r="C75" s="119"/>
      <c r="D75" s="119"/>
      <c r="E75" s="123">
        <f>+H54</f>
        <v>809480</v>
      </c>
      <c r="F75" s="113"/>
      <c r="G75" s="123"/>
      <c r="H75" s="113"/>
    </row>
    <row r="76" spans="1:11" s="107" customFormat="1" ht="13.2" x14ac:dyDescent="0.25">
      <c r="A76" s="106"/>
      <c r="B76" s="122" t="s">
        <v>89</v>
      </c>
      <c r="C76" s="119"/>
      <c r="D76" s="119"/>
      <c r="E76" s="123">
        <f>(+G61+G60+3150)*-1</f>
        <v>-66150</v>
      </c>
      <c r="F76" s="124"/>
      <c r="G76" s="123"/>
      <c r="H76" s="113"/>
      <c r="I76" s="109"/>
    </row>
    <row r="77" spans="1:11" s="107" customFormat="1" ht="13.8" thickBot="1" x14ac:dyDescent="0.3">
      <c r="A77" s="106"/>
      <c r="B77" s="122" t="s">
        <v>90</v>
      </c>
      <c r="C77" s="119"/>
      <c r="D77" s="125"/>
      <c r="E77" s="126">
        <f>E75+E76</f>
        <v>743330</v>
      </c>
      <c r="F77" s="124"/>
      <c r="G77" s="123"/>
      <c r="H77" s="113"/>
      <c r="I77" s="109"/>
    </row>
    <row r="78" spans="1:11" s="107" customFormat="1" ht="13.8" thickTop="1" x14ac:dyDescent="0.25">
      <c r="A78" s="106"/>
      <c r="B78" s="127"/>
      <c r="C78" s="119"/>
      <c r="D78" s="119"/>
      <c r="E78" s="128">
        <f>IF(E77&gt;10000,E77,0)</f>
        <v>743330</v>
      </c>
      <c r="F78" s="127"/>
      <c r="G78" s="119"/>
      <c r="H78" s="127"/>
      <c r="I78" s="109"/>
    </row>
    <row r="79" spans="1:11" s="124" customFormat="1" ht="25.5" customHeight="1" x14ac:dyDescent="0.25">
      <c r="A79" s="129"/>
      <c r="B79" s="130" t="s">
        <v>91</v>
      </c>
      <c r="C79" s="130" t="s">
        <v>92</v>
      </c>
      <c r="D79" s="130" t="s">
        <v>93</v>
      </c>
      <c r="E79" s="130" t="s">
        <v>94</v>
      </c>
      <c r="F79" s="131" t="s">
        <v>95</v>
      </c>
      <c r="G79" s="132" t="s">
        <v>96</v>
      </c>
      <c r="H79" s="130" t="s">
        <v>97</v>
      </c>
      <c r="I79" s="109"/>
      <c r="J79" s="107"/>
      <c r="K79" s="107"/>
    </row>
    <row r="80" spans="1:11" s="124" customFormat="1" ht="15" customHeight="1" x14ac:dyDescent="0.25">
      <c r="A80" s="133">
        <v>1</v>
      </c>
      <c r="B80" s="134">
        <v>43997</v>
      </c>
      <c r="C80" s="135">
        <v>400000</v>
      </c>
      <c r="D80" s="134">
        <v>43997</v>
      </c>
      <c r="E80" s="123">
        <f>E78*0.15</f>
        <v>111499.5</v>
      </c>
      <c r="F80" s="123">
        <f>ROUNDDOWN(+E80,-2)</f>
        <v>111400</v>
      </c>
      <c r="G80" s="136">
        <f>(F80-C80)</f>
        <v>-288600</v>
      </c>
      <c r="H80" s="137">
        <f>IF(G80&gt;0,G80*0.12/12*3,0)</f>
        <v>0</v>
      </c>
      <c r="I80" s="109"/>
      <c r="J80" s="107"/>
      <c r="K80" s="107"/>
    </row>
    <row r="81" spans="1:11" s="124" customFormat="1" ht="15" customHeight="1" x14ac:dyDescent="0.25">
      <c r="A81" s="133">
        <v>2</v>
      </c>
      <c r="B81" s="138"/>
      <c r="C81" s="135"/>
      <c r="D81" s="134">
        <v>44089</v>
      </c>
      <c r="E81" s="123">
        <f>E78*0.45</f>
        <v>334498.5</v>
      </c>
      <c r="F81" s="123">
        <f>ROUNDDOWN(+E81,-2)</f>
        <v>334400</v>
      </c>
      <c r="G81" s="136">
        <f>(F81-C81-C80)</f>
        <v>-65600</v>
      </c>
      <c r="H81" s="137">
        <f>IF(G81&gt;0,G81*0.12/12*3,0)</f>
        <v>0</v>
      </c>
      <c r="I81" s="109"/>
      <c r="J81" s="107"/>
      <c r="K81" s="107"/>
    </row>
    <row r="82" spans="1:11" s="124" customFormat="1" ht="15" customHeight="1" x14ac:dyDescent="0.25">
      <c r="A82" s="133">
        <v>3</v>
      </c>
      <c r="B82" s="134">
        <v>44180</v>
      </c>
      <c r="C82" s="135">
        <v>300000</v>
      </c>
      <c r="D82" s="134">
        <v>44180</v>
      </c>
      <c r="E82" s="123">
        <f>E78*0.75</f>
        <v>557497.5</v>
      </c>
      <c r="F82" s="123">
        <f>ROUNDDOWN(+E82,-2)</f>
        <v>557400</v>
      </c>
      <c r="G82" s="136">
        <f>(F82-(C80+C81+C82))</f>
        <v>-142600</v>
      </c>
      <c r="H82" s="139">
        <f>IF(G82&gt;0,G82*0.12/12*3,0)</f>
        <v>0</v>
      </c>
      <c r="I82" s="109"/>
      <c r="J82" s="107"/>
      <c r="K82" s="107"/>
    </row>
    <row r="83" spans="1:11" s="124" customFormat="1" ht="15" customHeight="1" x14ac:dyDescent="0.25">
      <c r="A83" s="133">
        <v>4</v>
      </c>
      <c r="B83" s="134"/>
      <c r="C83" s="135"/>
      <c r="D83" s="134">
        <v>44270</v>
      </c>
      <c r="E83" s="123">
        <f>+E78</f>
        <v>743330</v>
      </c>
      <c r="F83" s="123">
        <f>ROUNDDOWN(+E83,-2)</f>
        <v>743300</v>
      </c>
      <c r="G83" s="140">
        <f>(F83-(C80+C81+C82+C83))</f>
        <v>43300</v>
      </c>
      <c r="H83" s="139">
        <f>IF(G83&gt;0,G83*0.12/12,0)</f>
        <v>433</v>
      </c>
      <c r="I83" s="109"/>
      <c r="J83" s="107"/>
      <c r="K83" s="107"/>
    </row>
    <row r="84" spans="1:11" s="124" customFormat="1" ht="15" customHeight="1" x14ac:dyDescent="0.25">
      <c r="A84" s="133">
        <v>5</v>
      </c>
      <c r="B84" s="134"/>
      <c r="C84" s="135"/>
      <c r="D84" s="134">
        <v>44286</v>
      </c>
      <c r="F84" s="141"/>
      <c r="G84" s="141"/>
      <c r="H84" s="142"/>
      <c r="I84" s="109"/>
      <c r="J84" s="107"/>
      <c r="K84" s="107"/>
    </row>
    <row r="85" spans="1:11" s="124" customFormat="1" ht="15" customHeight="1" thickBot="1" x14ac:dyDescent="0.3">
      <c r="A85" s="129"/>
      <c r="B85" s="109"/>
      <c r="C85" s="143">
        <f>SUM(C80:C84)</f>
        <v>700000</v>
      </c>
      <c r="D85" s="109"/>
      <c r="E85" s="109"/>
      <c r="F85" s="109"/>
      <c r="G85" s="109"/>
      <c r="H85" s="144">
        <f>SUM(H80:H84)</f>
        <v>433</v>
      </c>
      <c r="I85" s="109"/>
      <c r="J85" s="107"/>
      <c r="K85" s="107"/>
    </row>
    <row r="86" spans="1:11" s="124" customFormat="1" ht="15" customHeight="1" thickTop="1" thickBot="1" x14ac:dyDescent="0.3">
      <c r="A86" s="145"/>
      <c r="B86" s="146"/>
      <c r="C86" s="147"/>
      <c r="D86" s="146"/>
      <c r="E86" s="146"/>
      <c r="F86" s="146"/>
      <c r="G86" s="146"/>
      <c r="H86" s="148" t="s">
        <v>98</v>
      </c>
      <c r="I86" s="109"/>
      <c r="J86" s="107"/>
      <c r="K86" s="107"/>
    </row>
    <row r="87" spans="1:11" s="124" customFormat="1" ht="15" customHeight="1" x14ac:dyDescent="0.25">
      <c r="A87" s="129"/>
      <c r="B87" s="149" t="s">
        <v>99</v>
      </c>
      <c r="C87" s="150"/>
      <c r="D87" s="109"/>
      <c r="E87" s="109"/>
      <c r="F87" s="109"/>
      <c r="G87" s="109"/>
      <c r="H87" s="151" t="s">
        <v>97</v>
      </c>
      <c r="I87" s="109"/>
      <c r="J87" s="107"/>
      <c r="K87" s="107"/>
    </row>
    <row r="88" spans="1:11" s="124" customFormat="1" ht="15" customHeight="1" x14ac:dyDescent="0.2">
      <c r="A88" s="129"/>
      <c r="B88" s="109" t="s">
        <v>88</v>
      </c>
      <c r="C88" s="109"/>
      <c r="D88" s="109"/>
      <c r="E88" s="123">
        <f>+E75</f>
        <v>809480</v>
      </c>
      <c r="F88" s="109"/>
      <c r="G88" s="152">
        <v>44287</v>
      </c>
      <c r="H88" s="139">
        <f>$F$94*0.01</f>
        <v>0</v>
      </c>
      <c r="J88" s="153"/>
    </row>
    <row r="89" spans="1:11" s="124" customFormat="1" ht="15" customHeight="1" x14ac:dyDescent="0.2">
      <c r="A89" s="129"/>
      <c r="B89" s="122" t="s">
        <v>89</v>
      </c>
      <c r="C89" s="109"/>
      <c r="D89" s="109"/>
      <c r="E89" s="123">
        <f>+E76</f>
        <v>-66150</v>
      </c>
      <c r="F89" s="109"/>
      <c r="G89" s="152">
        <v>44317</v>
      </c>
      <c r="H89" s="139">
        <f t="shared" ref="H89:H98" si="0">$F$94*0.01</f>
        <v>0</v>
      </c>
      <c r="J89" s="153"/>
    </row>
    <row r="90" spans="1:11" s="124" customFormat="1" ht="15" customHeight="1" thickBot="1" x14ac:dyDescent="0.25">
      <c r="A90" s="129"/>
      <c r="B90" s="154"/>
      <c r="C90" s="109"/>
      <c r="D90" s="109"/>
      <c r="E90" s="126">
        <f>E88+E89</f>
        <v>743330</v>
      </c>
      <c r="G90" s="152">
        <v>44348</v>
      </c>
      <c r="H90" s="139">
        <f t="shared" si="0"/>
        <v>0</v>
      </c>
      <c r="J90" s="153"/>
    </row>
    <row r="91" spans="1:11" s="124" customFormat="1" ht="15" customHeight="1" thickTop="1" x14ac:dyDescent="0.2">
      <c r="A91" s="129"/>
      <c r="F91" s="109"/>
      <c r="G91" s="152">
        <v>44378</v>
      </c>
      <c r="H91" s="139">
        <f t="shared" si="0"/>
        <v>0</v>
      </c>
      <c r="J91" s="153"/>
    </row>
    <row r="92" spans="1:11" s="124" customFormat="1" ht="15" customHeight="1" x14ac:dyDescent="0.2">
      <c r="A92" s="129"/>
      <c r="B92" s="109" t="s">
        <v>100</v>
      </c>
      <c r="C92" s="150"/>
      <c r="D92" s="155">
        <v>0.9</v>
      </c>
      <c r="E92" s="156">
        <f>ROUND(E90*90%,0)</f>
        <v>668997</v>
      </c>
      <c r="F92" s="109"/>
      <c r="G92" s="152">
        <v>44409</v>
      </c>
      <c r="H92" s="139">
        <f t="shared" si="0"/>
        <v>0</v>
      </c>
    </row>
    <row r="93" spans="1:11" s="124" customFormat="1" ht="15" customHeight="1" x14ac:dyDescent="0.2">
      <c r="A93" s="129"/>
      <c r="B93" s="109" t="s">
        <v>101</v>
      </c>
      <c r="C93" s="150"/>
      <c r="D93" s="109"/>
      <c r="E93" s="157">
        <v>700000</v>
      </c>
      <c r="F93" s="109"/>
      <c r="G93" s="152">
        <v>44440</v>
      </c>
      <c r="H93" s="139">
        <f t="shared" si="0"/>
        <v>0</v>
      </c>
    </row>
    <row r="94" spans="1:11" s="124" customFormat="1" ht="15" customHeight="1" x14ac:dyDescent="0.2">
      <c r="A94" s="129"/>
      <c r="B94" s="124" t="s">
        <v>102</v>
      </c>
      <c r="C94" s="150"/>
      <c r="D94" s="109"/>
      <c r="E94" s="123"/>
      <c r="F94" s="123">
        <f>ROUNDDOWN(E94,-2)</f>
        <v>0</v>
      </c>
      <c r="G94" s="152">
        <v>44470</v>
      </c>
      <c r="H94" s="139">
        <f t="shared" si="0"/>
        <v>0</v>
      </c>
    </row>
    <row r="95" spans="1:11" s="124" customFormat="1" ht="15" customHeight="1" x14ac:dyDescent="0.2">
      <c r="A95" s="129"/>
      <c r="B95" s="158"/>
      <c r="C95" s="109" t="s">
        <v>103</v>
      </c>
      <c r="D95" s="109"/>
      <c r="E95" s="159"/>
      <c r="F95" s="109"/>
      <c r="G95" s="152">
        <v>44501</v>
      </c>
      <c r="H95" s="139">
        <f t="shared" si="0"/>
        <v>0</v>
      </c>
    </row>
    <row r="96" spans="1:11" s="124" customFormat="1" ht="15" customHeight="1" x14ac:dyDescent="0.2">
      <c r="A96" s="129"/>
      <c r="C96" s="160" t="s">
        <v>104</v>
      </c>
      <c r="E96" s="159"/>
      <c r="F96" s="109"/>
      <c r="G96" s="152">
        <v>44531</v>
      </c>
      <c r="H96" s="139">
        <f t="shared" si="0"/>
        <v>0</v>
      </c>
    </row>
    <row r="97" spans="1:11" s="124" customFormat="1" ht="15" customHeight="1" x14ac:dyDescent="0.2">
      <c r="A97" s="129"/>
      <c r="C97" s="109" t="s">
        <v>105</v>
      </c>
      <c r="E97" s="159">
        <f>E95-E96</f>
        <v>0</v>
      </c>
      <c r="F97" s="109"/>
      <c r="G97" s="152">
        <v>44562</v>
      </c>
      <c r="H97" s="139">
        <f t="shared" si="0"/>
        <v>0</v>
      </c>
    </row>
    <row r="98" spans="1:11" s="124" customFormat="1" ht="15" customHeight="1" x14ac:dyDescent="0.2">
      <c r="A98" s="129"/>
      <c r="B98" s="124" t="s">
        <v>106</v>
      </c>
      <c r="C98" s="109"/>
      <c r="E98" s="161">
        <f>E94-E97</f>
        <v>0</v>
      </c>
      <c r="F98" s="123">
        <f>ROUNDDOWN(E98,-2)</f>
        <v>0</v>
      </c>
      <c r="G98" s="152">
        <v>44593</v>
      </c>
      <c r="H98" s="139">
        <f t="shared" si="0"/>
        <v>0</v>
      </c>
    </row>
    <row r="99" spans="1:11" s="124" customFormat="1" ht="15" customHeight="1" x14ac:dyDescent="0.2">
      <c r="A99" s="129"/>
      <c r="C99" s="109"/>
      <c r="E99" s="159"/>
      <c r="F99" s="109"/>
      <c r="G99" s="152">
        <v>44621</v>
      </c>
      <c r="H99" s="139"/>
    </row>
    <row r="100" spans="1:11" s="124" customFormat="1" ht="15" customHeight="1" thickBot="1" x14ac:dyDescent="0.25">
      <c r="A100" s="129"/>
      <c r="C100" s="109"/>
      <c r="E100" s="159"/>
      <c r="F100" s="109"/>
      <c r="G100" s="152"/>
      <c r="H100" s="162">
        <f>SUM(H88:H99)</f>
        <v>0</v>
      </c>
    </row>
    <row r="101" spans="1:11" s="124" customFormat="1" ht="15" customHeight="1" thickTop="1" thickBot="1" x14ac:dyDescent="0.25">
      <c r="A101" s="145"/>
      <c r="B101" s="163"/>
      <c r="C101" s="146"/>
      <c r="D101" s="163"/>
      <c r="E101" s="164"/>
      <c r="F101" s="165"/>
      <c r="G101" s="146"/>
      <c r="H101" s="148" t="s">
        <v>98</v>
      </c>
    </row>
    <row r="102" spans="1:11" s="124" customFormat="1" ht="15" customHeight="1" x14ac:dyDescent="0.2">
      <c r="A102" s="129"/>
      <c r="B102" s="149" t="s">
        <v>107</v>
      </c>
      <c r="C102" s="166"/>
      <c r="D102" s="166"/>
      <c r="E102" s="166"/>
      <c r="F102" s="166"/>
      <c r="G102" s="166"/>
      <c r="H102" s="166"/>
    </row>
    <row r="103" spans="1:11" s="124" customFormat="1" ht="15" customHeight="1" x14ac:dyDescent="0.2">
      <c r="A103" s="129"/>
      <c r="B103" s="109" t="s">
        <v>88</v>
      </c>
      <c r="C103" s="109"/>
      <c r="D103" s="109"/>
      <c r="E103" s="123">
        <f>+E88</f>
        <v>809480</v>
      </c>
      <c r="F103" s="166"/>
      <c r="G103" s="109"/>
      <c r="H103" s="151" t="s">
        <v>97</v>
      </c>
    </row>
    <row r="104" spans="1:11" s="124" customFormat="1" ht="15" customHeight="1" x14ac:dyDescent="0.2">
      <c r="A104" s="129"/>
      <c r="B104" s="154" t="s">
        <v>108</v>
      </c>
      <c r="C104" s="109"/>
      <c r="D104" s="109"/>
      <c r="E104" s="123">
        <f>+E76</f>
        <v>-66150</v>
      </c>
      <c r="F104" s="166"/>
      <c r="G104" s="152"/>
    </row>
    <row r="105" spans="1:11" s="124" customFormat="1" ht="15" customHeight="1" x14ac:dyDescent="0.2">
      <c r="A105" s="129"/>
      <c r="B105" s="167" t="s">
        <v>109</v>
      </c>
      <c r="C105" s="109"/>
      <c r="D105" s="109"/>
      <c r="E105" s="123">
        <f>+E93*-1</f>
        <v>-700000</v>
      </c>
      <c r="F105" s="166"/>
      <c r="G105" s="152"/>
      <c r="H105" s="139"/>
    </row>
    <row r="106" spans="1:11" s="124" customFormat="1" ht="15" customHeight="1" x14ac:dyDescent="0.2">
      <c r="A106" s="129"/>
      <c r="B106" s="154" t="s">
        <v>110</v>
      </c>
      <c r="C106" s="109"/>
      <c r="D106" s="109"/>
      <c r="E106" s="168"/>
      <c r="F106" s="166"/>
      <c r="G106" s="152"/>
      <c r="H106" s="139"/>
    </row>
    <row r="107" spans="1:11" s="124" customFormat="1" ht="15" customHeight="1" x14ac:dyDescent="0.2">
      <c r="A107" s="129"/>
      <c r="B107" s="154" t="s">
        <v>111</v>
      </c>
      <c r="C107" s="109"/>
      <c r="D107" s="109"/>
      <c r="E107" s="168"/>
      <c r="F107" s="166"/>
      <c r="G107" s="152"/>
      <c r="H107" s="139"/>
    </row>
    <row r="108" spans="1:11" s="124" customFormat="1" ht="15" customHeight="1" x14ac:dyDescent="0.2">
      <c r="A108" s="129"/>
      <c r="B108" s="167" t="s">
        <v>112</v>
      </c>
      <c r="C108" s="109"/>
      <c r="D108" s="109"/>
      <c r="E108" s="168"/>
      <c r="F108" s="166"/>
      <c r="G108" s="152"/>
      <c r="H108" s="139"/>
    </row>
    <row r="109" spans="1:11" s="124" customFormat="1" ht="15" customHeight="1" thickBot="1" x14ac:dyDescent="0.25">
      <c r="A109" s="129"/>
      <c r="E109" s="126"/>
      <c r="F109" s="123"/>
      <c r="G109" s="152">
        <v>44621</v>
      </c>
      <c r="H109" s="139"/>
    </row>
    <row r="110" spans="1:11" s="107" customFormat="1" ht="14.4" thickTop="1" thickBot="1" x14ac:dyDescent="0.3">
      <c r="A110" s="169"/>
      <c r="H110" s="162">
        <f>SUM(H105:H109)</f>
        <v>0</v>
      </c>
      <c r="I110" s="124"/>
      <c r="J110" s="124"/>
      <c r="K110" s="124"/>
    </row>
    <row r="111" spans="1:11" s="107" customFormat="1" ht="13.8" thickTop="1" x14ac:dyDescent="0.25">
      <c r="A111" s="169"/>
      <c r="H111" s="170" t="s">
        <v>98</v>
      </c>
      <c r="I111" s="124"/>
      <c r="J111" s="124"/>
      <c r="K111" s="124"/>
    </row>
    <row r="112" spans="1:11" s="107" customFormat="1" ht="13.8" thickBot="1" x14ac:dyDescent="0.3">
      <c r="A112" s="171"/>
      <c r="B112" s="172"/>
      <c r="C112" s="172"/>
      <c r="D112" s="172"/>
      <c r="E112" s="172"/>
      <c r="F112" s="172"/>
      <c r="G112" s="172"/>
      <c r="H112" s="172"/>
      <c r="I112" s="124"/>
      <c r="J112" s="124"/>
      <c r="K112" s="124"/>
    </row>
    <row r="113" spans="1:9" s="107" customFormat="1" ht="13.8" thickTop="1" x14ac:dyDescent="0.25">
      <c r="A113" s="169"/>
    </row>
    <row r="114" spans="1:9" ht="15" customHeight="1" x14ac:dyDescent="0.25">
      <c r="A114" s="208" t="s">
        <v>113</v>
      </c>
      <c r="B114" s="208"/>
      <c r="C114" s="208"/>
      <c r="D114" s="208"/>
      <c r="E114" s="208"/>
      <c r="F114" s="208"/>
      <c r="G114" s="208"/>
      <c r="H114" s="107"/>
    </row>
    <row r="115" spans="1:9" ht="15" customHeight="1" x14ac:dyDescent="0.25">
      <c r="B115" s="119" t="s">
        <v>114</v>
      </c>
      <c r="E115" s="174">
        <v>2500000</v>
      </c>
      <c r="F115" s="175">
        <v>0.15</v>
      </c>
      <c r="G115" s="174">
        <f>E115*F115</f>
        <v>375000</v>
      </c>
    </row>
    <row r="116" spans="1:9" ht="15" customHeight="1" x14ac:dyDescent="0.25">
      <c r="B116" s="119"/>
      <c r="E116" s="174"/>
      <c r="F116" s="175"/>
      <c r="G116" s="174"/>
    </row>
    <row r="117" spans="1:9" ht="15" customHeight="1" x14ac:dyDescent="0.25">
      <c r="B117" s="119" t="s">
        <v>115</v>
      </c>
      <c r="E117" s="174">
        <v>400000</v>
      </c>
      <c r="F117" s="175">
        <v>0.4</v>
      </c>
      <c r="G117" s="174">
        <f>(E117-E118)*40%</f>
        <v>100000</v>
      </c>
    </row>
    <row r="118" spans="1:9" ht="15" customHeight="1" x14ac:dyDescent="0.25">
      <c r="B118" s="119" t="s">
        <v>116</v>
      </c>
      <c r="E118" s="176">
        <v>150000</v>
      </c>
      <c r="F118" s="175"/>
      <c r="G118" s="174"/>
    </row>
    <row r="119" spans="1:9" ht="15" customHeight="1" x14ac:dyDescent="0.25">
      <c r="B119" s="122" t="s">
        <v>117</v>
      </c>
      <c r="E119" s="174">
        <v>200000</v>
      </c>
      <c r="F119" s="175">
        <v>0.4</v>
      </c>
      <c r="G119" s="174">
        <f>E119*F119/2</f>
        <v>40000</v>
      </c>
    </row>
    <row r="120" spans="1:9" ht="15" customHeight="1" x14ac:dyDescent="0.25">
      <c r="B120" s="119"/>
      <c r="E120" s="174"/>
      <c r="F120" s="175"/>
      <c r="G120" s="174"/>
    </row>
    <row r="121" spans="1:9" ht="15" customHeight="1" x14ac:dyDescent="0.25">
      <c r="B121" s="119" t="s">
        <v>118</v>
      </c>
      <c r="E121" s="174">
        <v>1200000</v>
      </c>
      <c r="F121" s="175">
        <v>0.1</v>
      </c>
      <c r="G121" s="174">
        <f>(E121)*F121</f>
        <v>120000</v>
      </c>
    </row>
    <row r="122" spans="1:9" ht="15" customHeight="1" x14ac:dyDescent="0.25">
      <c r="B122" s="122" t="s">
        <v>119</v>
      </c>
      <c r="E122" s="174">
        <v>400000</v>
      </c>
      <c r="F122" s="175">
        <v>0.1</v>
      </c>
      <c r="G122" s="174">
        <f>(E122)*F122/2</f>
        <v>20000</v>
      </c>
    </row>
    <row r="123" spans="1:9" ht="15" customHeight="1" thickBot="1" x14ac:dyDescent="0.3">
      <c r="B123" s="119"/>
      <c r="E123" s="174"/>
      <c r="F123" s="119"/>
      <c r="G123" s="177">
        <f>SUM(G115:G122)</f>
        <v>655000</v>
      </c>
      <c r="I123" s="178"/>
    </row>
    <row r="124" spans="1:9" ht="15" customHeight="1" thickTop="1" x14ac:dyDescent="0.25">
      <c r="B124" s="179" t="s">
        <v>120</v>
      </c>
      <c r="C124" s="180"/>
      <c r="E124" s="179" t="s">
        <v>121</v>
      </c>
    </row>
    <row r="125" spans="1:9" ht="15" customHeight="1" x14ac:dyDescent="0.25">
      <c r="B125" s="179" t="s">
        <v>122</v>
      </c>
      <c r="C125" s="180"/>
      <c r="D125" s="181">
        <f>+G115</f>
        <v>375000</v>
      </c>
      <c r="E125" s="107" t="s">
        <v>123</v>
      </c>
      <c r="G125" s="181">
        <f>+G121+G122</f>
        <v>140000</v>
      </c>
    </row>
    <row r="126" spans="1:9" ht="15" customHeight="1" x14ac:dyDescent="0.25">
      <c r="B126" s="107" t="s">
        <v>124</v>
      </c>
      <c r="C126" s="107"/>
      <c r="D126" s="182">
        <f>+G117+G119</f>
        <v>140000</v>
      </c>
      <c r="E126" s="107"/>
    </row>
    <row r="128" spans="1:9" ht="15" customHeight="1" x14ac:dyDescent="0.25">
      <c r="A128" s="209" t="s">
        <v>125</v>
      </c>
      <c r="B128" s="209"/>
      <c r="C128" s="209"/>
      <c r="D128" s="209"/>
      <c r="E128" s="209"/>
      <c r="F128" s="209"/>
      <c r="G128" s="209"/>
    </row>
    <row r="129" spans="1:7" ht="15" customHeight="1" x14ac:dyDescent="0.25">
      <c r="B129" s="183" t="s">
        <v>126</v>
      </c>
      <c r="C129" s="182"/>
      <c r="E129" s="181">
        <v>0</v>
      </c>
      <c r="G129" s="28">
        <v>2846800</v>
      </c>
    </row>
    <row r="130" spans="1:7" ht="15" customHeight="1" x14ac:dyDescent="0.25">
      <c r="A130" s="184" t="s">
        <v>127</v>
      </c>
      <c r="B130" s="199" t="s">
        <v>128</v>
      </c>
      <c r="C130" s="199"/>
      <c r="E130" s="181">
        <v>0</v>
      </c>
      <c r="G130" s="28">
        <v>800000</v>
      </c>
    </row>
    <row r="131" spans="1:7" ht="15" customHeight="1" x14ac:dyDescent="0.25">
      <c r="A131" s="184" t="s">
        <v>129</v>
      </c>
      <c r="B131" s="199" t="s">
        <v>130</v>
      </c>
      <c r="C131" s="199"/>
      <c r="E131" s="181">
        <f>+H141*-1</f>
        <v>0</v>
      </c>
      <c r="G131" s="28">
        <f>+G123*-1</f>
        <v>-655000</v>
      </c>
    </row>
    <row r="132" spans="1:7" ht="15" customHeight="1" x14ac:dyDescent="0.25">
      <c r="A132" s="185" t="s">
        <v>131</v>
      </c>
      <c r="B132" s="107" t="s">
        <v>132</v>
      </c>
      <c r="C132" s="182"/>
      <c r="D132" s="186" t="s">
        <v>133</v>
      </c>
      <c r="F132" s="187" t="s">
        <v>134</v>
      </c>
      <c r="G132" s="1">
        <v>18000</v>
      </c>
    </row>
    <row r="133" spans="1:7" ht="15" customHeight="1" x14ac:dyDescent="0.25">
      <c r="A133" s="185" t="s">
        <v>135</v>
      </c>
      <c r="B133" s="107" t="s">
        <v>136</v>
      </c>
      <c r="C133" s="182"/>
      <c r="D133" s="186" t="s">
        <v>137</v>
      </c>
      <c r="F133" s="187" t="s">
        <v>138</v>
      </c>
      <c r="G133" s="1">
        <v>50000</v>
      </c>
    </row>
    <row r="134" spans="1:7" ht="15" customHeight="1" x14ac:dyDescent="0.25">
      <c r="A134" s="185" t="s">
        <v>135</v>
      </c>
      <c r="B134" s="107" t="s">
        <v>139</v>
      </c>
      <c r="C134" s="182"/>
      <c r="D134" s="186" t="s">
        <v>140</v>
      </c>
      <c r="F134" s="187" t="s">
        <v>141</v>
      </c>
      <c r="G134" s="1">
        <v>11000</v>
      </c>
    </row>
    <row r="135" spans="1:7" ht="15" customHeight="1" x14ac:dyDescent="0.25">
      <c r="A135" s="185" t="s">
        <v>142</v>
      </c>
      <c r="B135" s="107" t="s">
        <v>143</v>
      </c>
      <c r="C135" s="182"/>
      <c r="D135" s="186" t="s">
        <v>144</v>
      </c>
      <c r="F135" s="187" t="s">
        <v>145</v>
      </c>
      <c r="G135" s="1">
        <v>90000</v>
      </c>
    </row>
    <row r="136" spans="1:7" ht="15" customHeight="1" thickBot="1" x14ac:dyDescent="0.3">
      <c r="B136" s="188" t="s">
        <v>146</v>
      </c>
      <c r="C136" s="189"/>
      <c r="D136" s="189"/>
      <c r="E136" s="189"/>
      <c r="F136" s="190"/>
      <c r="G136" s="191">
        <f>SUM(G129:G135)</f>
        <v>3160800</v>
      </c>
    </row>
    <row r="137" spans="1:7" ht="15" customHeight="1" thickTop="1" x14ac:dyDescent="0.25">
      <c r="F137" s="28"/>
      <c r="G137" s="57"/>
    </row>
    <row r="138" spans="1:7" ht="15" customHeight="1" x14ac:dyDescent="0.25">
      <c r="B138" s="192" t="s">
        <v>147</v>
      </c>
      <c r="D138" s="192"/>
      <c r="E138" s="192"/>
      <c r="F138" s="193" t="s">
        <v>148</v>
      </c>
      <c r="G138" s="57"/>
    </row>
    <row r="139" spans="1:7" ht="15" customHeight="1" x14ac:dyDescent="0.25">
      <c r="A139" s="194">
        <v>1</v>
      </c>
      <c r="B139" s="124" t="s">
        <v>149</v>
      </c>
      <c r="D139" s="124"/>
      <c r="E139" s="124" t="s">
        <v>150</v>
      </c>
      <c r="F139" s="153" t="s">
        <v>151</v>
      </c>
      <c r="G139" s="57"/>
    </row>
    <row r="140" spans="1:7" ht="15" customHeight="1" x14ac:dyDescent="0.25">
      <c r="A140" s="194">
        <v>2</v>
      </c>
      <c r="B140" s="124" t="s">
        <v>152</v>
      </c>
      <c r="D140" s="124"/>
      <c r="E140" s="124" t="s">
        <v>153</v>
      </c>
      <c r="F140" s="153" t="s">
        <v>154</v>
      </c>
      <c r="G140" s="57"/>
    </row>
    <row r="141" spans="1:7" ht="15" customHeight="1" x14ac:dyDescent="0.25">
      <c r="A141" s="194">
        <v>3</v>
      </c>
      <c r="B141" s="124" t="s">
        <v>155</v>
      </c>
      <c r="D141" s="124"/>
      <c r="E141" s="124" t="s">
        <v>153</v>
      </c>
      <c r="F141" s="153" t="s">
        <v>156</v>
      </c>
      <c r="G141" s="57"/>
    </row>
    <row r="142" spans="1:7" ht="15" customHeight="1" x14ac:dyDescent="0.25">
      <c r="A142" s="194">
        <v>4</v>
      </c>
      <c r="B142" s="124" t="s">
        <v>157</v>
      </c>
      <c r="D142" s="124"/>
      <c r="E142" s="124" t="s">
        <v>153</v>
      </c>
      <c r="F142" s="153" t="s">
        <v>158</v>
      </c>
      <c r="G142" s="57"/>
    </row>
    <row r="143" spans="1:7" ht="15" customHeight="1" x14ac:dyDescent="0.25">
      <c r="A143" s="194">
        <v>5</v>
      </c>
      <c r="B143" s="124" t="s">
        <v>159</v>
      </c>
      <c r="D143" s="124"/>
      <c r="E143" s="124" t="s">
        <v>153</v>
      </c>
      <c r="F143" s="153" t="s">
        <v>160</v>
      </c>
      <c r="G143" s="57"/>
    </row>
    <row r="144" spans="1:7" ht="15" customHeight="1" x14ac:dyDescent="0.25">
      <c r="A144" s="194">
        <v>6</v>
      </c>
      <c r="B144" s="124" t="s">
        <v>161</v>
      </c>
      <c r="D144" s="124"/>
      <c r="E144" s="124" t="s">
        <v>153</v>
      </c>
      <c r="F144" s="153" t="s">
        <v>162</v>
      </c>
      <c r="G144" s="57"/>
    </row>
    <row r="145" spans="1:10" ht="15" customHeight="1" x14ac:dyDescent="0.25">
      <c r="A145" s="194">
        <v>7</v>
      </c>
      <c r="B145" s="124" t="s">
        <v>163</v>
      </c>
      <c r="D145" s="124"/>
      <c r="E145" s="124" t="s">
        <v>164</v>
      </c>
      <c r="F145" s="153" t="s">
        <v>165</v>
      </c>
      <c r="G145" s="57">
        <v>18000</v>
      </c>
    </row>
    <row r="146" spans="1:10" ht="15" customHeight="1" x14ac:dyDescent="0.25">
      <c r="A146" s="194">
        <v>8</v>
      </c>
      <c r="B146" s="124" t="s">
        <v>166</v>
      </c>
      <c r="D146" s="124"/>
      <c r="E146" s="124" t="s">
        <v>164</v>
      </c>
      <c r="F146" s="153" t="s">
        <v>167</v>
      </c>
      <c r="G146" s="57"/>
    </row>
    <row r="147" spans="1:10" ht="15" customHeight="1" x14ac:dyDescent="0.25">
      <c r="A147" s="194">
        <v>9</v>
      </c>
      <c r="B147" s="124" t="s">
        <v>168</v>
      </c>
      <c r="D147" s="124"/>
      <c r="E147" s="124" t="s">
        <v>169</v>
      </c>
      <c r="F147" s="153" t="s">
        <v>170</v>
      </c>
      <c r="G147" s="57"/>
    </row>
    <row r="148" spans="1:10" ht="15" customHeight="1" x14ac:dyDescent="0.25">
      <c r="A148" s="194">
        <v>10</v>
      </c>
      <c r="B148" s="124" t="s">
        <v>137</v>
      </c>
      <c r="D148" s="124"/>
      <c r="E148" s="124" t="s">
        <v>171</v>
      </c>
      <c r="F148" s="153" t="s">
        <v>172</v>
      </c>
      <c r="G148" s="57">
        <v>50000</v>
      </c>
    </row>
    <row r="149" spans="1:10" ht="15" customHeight="1" x14ac:dyDescent="0.25">
      <c r="A149" s="194">
        <v>11</v>
      </c>
      <c r="B149" s="124" t="s">
        <v>173</v>
      </c>
      <c r="D149" s="124"/>
      <c r="E149" s="124" t="s">
        <v>171</v>
      </c>
      <c r="F149" s="153" t="s">
        <v>174</v>
      </c>
      <c r="G149" s="57">
        <v>11000</v>
      </c>
    </row>
    <row r="150" spans="1:10" ht="15" customHeight="1" x14ac:dyDescent="0.25">
      <c r="A150" s="194">
        <v>12</v>
      </c>
      <c r="B150" s="124" t="s">
        <v>175</v>
      </c>
      <c r="D150" s="124"/>
      <c r="E150" s="124" t="s">
        <v>176</v>
      </c>
      <c r="F150" s="153" t="s">
        <v>177</v>
      </c>
      <c r="G150" s="57">
        <v>90000</v>
      </c>
    </row>
    <row r="151" spans="1:10" ht="15" customHeight="1" x14ac:dyDescent="0.25">
      <c r="A151" s="194">
        <v>13</v>
      </c>
      <c r="B151" s="124" t="s">
        <v>178</v>
      </c>
      <c r="D151" s="124"/>
      <c r="E151" s="124" t="s">
        <v>176</v>
      </c>
      <c r="F151" s="153" t="s">
        <v>179</v>
      </c>
      <c r="G151" s="57"/>
    </row>
    <row r="152" spans="1:10" ht="15" customHeight="1" x14ac:dyDescent="0.25">
      <c r="A152" s="195">
        <v>14</v>
      </c>
      <c r="B152" s="192" t="s">
        <v>180</v>
      </c>
      <c r="D152" s="192"/>
      <c r="E152" s="192" t="s">
        <v>181</v>
      </c>
      <c r="F152" s="193" t="s">
        <v>182</v>
      </c>
      <c r="G152" s="57"/>
    </row>
    <row r="153" spans="1:10" ht="15" customHeight="1" x14ac:dyDescent="0.25">
      <c r="A153" s="195">
        <v>15</v>
      </c>
      <c r="B153" s="192" t="s">
        <v>183</v>
      </c>
      <c r="D153" s="192"/>
      <c r="E153" s="192" t="s">
        <v>176</v>
      </c>
      <c r="F153" s="193">
        <v>10</v>
      </c>
      <c r="G153" s="57"/>
    </row>
    <row r="154" spans="1:10" ht="15" customHeight="1" x14ac:dyDescent="0.25">
      <c r="B154" s="18"/>
      <c r="C154" s="18"/>
      <c r="D154" s="18"/>
      <c r="E154" s="18"/>
      <c r="G154" s="57"/>
    </row>
    <row r="155" spans="1:10" ht="15" customHeight="1" thickBot="1" x14ac:dyDescent="0.3"/>
    <row r="156" spans="1:10" ht="15" customHeight="1" thickBot="1" x14ac:dyDescent="0.3">
      <c r="B156" s="196" t="s">
        <v>184</v>
      </c>
      <c r="C156" s="214" t="s">
        <v>185</v>
      </c>
      <c r="D156" s="214"/>
      <c r="E156" s="214"/>
      <c r="F156" s="214"/>
      <c r="G156" s="214"/>
      <c r="H156" s="214"/>
      <c r="I156" s="214"/>
      <c r="J156" s="196" t="s">
        <v>186</v>
      </c>
    </row>
    <row r="157" spans="1:10" ht="15" customHeight="1" x14ac:dyDescent="0.25">
      <c r="B157" s="197" t="s">
        <v>187</v>
      </c>
      <c r="C157" s="215" t="s">
        <v>188</v>
      </c>
      <c r="D157" s="216"/>
      <c r="E157" s="216"/>
      <c r="F157" s="216"/>
      <c r="G157" s="216"/>
      <c r="H157" s="216"/>
      <c r="I157" s="217"/>
      <c r="J157" s="197" t="s">
        <v>189</v>
      </c>
    </row>
    <row r="158" spans="1:10" ht="15" customHeight="1" x14ac:dyDescent="0.25">
      <c r="B158" s="197" t="s">
        <v>190</v>
      </c>
      <c r="C158" s="210" t="s">
        <v>191</v>
      </c>
      <c r="D158" s="211"/>
      <c r="E158" s="211"/>
      <c r="F158" s="211"/>
      <c r="G158" s="211"/>
      <c r="H158" s="211"/>
      <c r="I158" s="212"/>
      <c r="J158" s="197" t="s">
        <v>192</v>
      </c>
    </row>
    <row r="159" spans="1:10" ht="15" customHeight="1" x14ac:dyDescent="0.25">
      <c r="B159" s="197" t="s">
        <v>193</v>
      </c>
      <c r="C159" s="210" t="s">
        <v>194</v>
      </c>
      <c r="D159" s="211"/>
      <c r="E159" s="211"/>
      <c r="F159" s="211"/>
      <c r="G159" s="211"/>
      <c r="H159" s="211"/>
      <c r="I159" s="212"/>
      <c r="J159" s="197" t="s">
        <v>131</v>
      </c>
    </row>
    <row r="160" spans="1:10" ht="15" customHeight="1" x14ac:dyDescent="0.25">
      <c r="B160" s="197" t="s">
        <v>195</v>
      </c>
      <c r="C160" s="210" t="s">
        <v>196</v>
      </c>
      <c r="D160" s="211"/>
      <c r="E160" s="211"/>
      <c r="F160" s="211"/>
      <c r="G160" s="211"/>
      <c r="H160" s="211"/>
      <c r="I160" s="212"/>
      <c r="J160" s="197" t="s">
        <v>135</v>
      </c>
    </row>
    <row r="161" spans="2:10" ht="15" customHeight="1" x14ac:dyDescent="0.25">
      <c r="B161" s="197" t="s">
        <v>197</v>
      </c>
      <c r="C161" s="210" t="s">
        <v>198</v>
      </c>
      <c r="D161" s="211"/>
      <c r="E161" s="211"/>
      <c r="F161" s="211"/>
      <c r="G161" s="211"/>
      <c r="H161" s="211"/>
      <c r="I161" s="212"/>
      <c r="J161" s="197" t="s">
        <v>142</v>
      </c>
    </row>
    <row r="162" spans="2:10" ht="15" customHeight="1" x14ac:dyDescent="0.25">
      <c r="B162" s="197" t="s">
        <v>199</v>
      </c>
      <c r="C162" s="210" t="s">
        <v>200</v>
      </c>
      <c r="D162" s="211"/>
      <c r="E162" s="211"/>
      <c r="F162" s="211"/>
      <c r="G162" s="211"/>
      <c r="H162" s="211"/>
      <c r="I162" s="212"/>
      <c r="J162" s="197" t="s">
        <v>201</v>
      </c>
    </row>
    <row r="163" spans="2:10" ht="15" customHeight="1" thickBot="1" x14ac:dyDescent="0.3">
      <c r="B163" s="198" t="s">
        <v>202</v>
      </c>
      <c r="C163" s="213" t="s">
        <v>203</v>
      </c>
      <c r="D163" s="213"/>
      <c r="E163" s="213"/>
      <c r="F163" s="213"/>
      <c r="G163" s="213"/>
      <c r="H163" s="213"/>
      <c r="I163" s="213"/>
      <c r="J163" s="198" t="s">
        <v>204</v>
      </c>
    </row>
  </sheetData>
  <mergeCells count="21">
    <mergeCell ref="C161:I161"/>
    <mergeCell ref="C162:I162"/>
    <mergeCell ref="C163:I163"/>
    <mergeCell ref="B131:C131"/>
    <mergeCell ref="C156:I156"/>
    <mergeCell ref="C157:I157"/>
    <mergeCell ref="C158:I158"/>
    <mergeCell ref="C159:I159"/>
    <mergeCell ref="C160:I160"/>
    <mergeCell ref="B130:C130"/>
    <mergeCell ref="A1:I1"/>
    <mergeCell ref="A2:I2"/>
    <mergeCell ref="A3:F3"/>
    <mergeCell ref="A4:F4"/>
    <mergeCell ref="C59:D59"/>
    <mergeCell ref="C60:E60"/>
    <mergeCell ref="C61:E61"/>
    <mergeCell ref="C62:E62"/>
    <mergeCell ref="C63:F63"/>
    <mergeCell ref="A114:G114"/>
    <mergeCell ref="A128:G128"/>
  </mergeCells>
  <printOptions horizontalCentered="1" verticalCentered="1"/>
  <pageMargins left="0.19685039370078741" right="0.19685039370078741" top="0.19685039370078741" bottom="0.19685039370078741" header="0" footer="0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Cals-3.3</vt:lpstr>
      <vt:lpstr>'Cals-3.3'!Print_Area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dcterms:created xsi:type="dcterms:W3CDTF">2022-02-24T13:49:58Z</dcterms:created>
  <dcterms:modified xsi:type="dcterms:W3CDTF">2022-04-14T08:30:30Z</dcterms:modified>
</cp:coreProperties>
</file>