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Tax Doctor\Desktop\"/>
    </mc:Choice>
  </mc:AlternateContent>
  <xr:revisionPtr revIDLastSave="0" documentId="13_ncr:1_{1D0EB887-B186-466C-B15C-280AFC278992}" xr6:coauthVersionLast="47" xr6:coauthVersionMax="47" xr10:uidLastSave="{00000000-0000-0000-0000-000000000000}"/>
  <bookViews>
    <workbookView xWindow="-108" yWindow="-108" windowWidth="23256" windowHeight="12720" tabRatio="656" firstSheet="14" activeTab="15" xr2:uid="{00000000-000D-0000-FFFF-FFFF00000000}"/>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3-18" sheetId="78" r:id="rId15"/>
    <sheet name="ITR3-18+" sheetId="79" r:id="rId16"/>
    <sheet name="ITR3-19(R)" sheetId="49" state="hidden" r:id="rId17"/>
    <sheet name="ITR3-20(R) " sheetId="68"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4">'ITR3-18'!$A$1:$H$57</definedName>
    <definedName name="_xlnm.Print_Area" localSheetId="15">'ITR3-18+'!$A$1:$D$76</definedName>
    <definedName name="_xlnm.Print_Area" localSheetId="16">'ITR3-19(R)'!$A$1:$H$76</definedName>
    <definedName name="_xlnm.Print_Area" localSheetId="17">'ITR3-20(R) '!$A$1:$H$68</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91029"/>
  <customWorkbookViews>
    <customWorkbookView name="sudhirr - Personal View" guid="{27EDC0A0-6243-11D3-9E8B-444553540000}" mergeInterval="0" personalView="1" maximized="1" windowWidth="636" windowHeight="318"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54" i="78" l="1"/>
  <c r="K55" i="78"/>
  <c r="K53" i="78"/>
  <c r="L117" i="49" l="1"/>
  <c r="K117" i="49"/>
  <c r="K116" i="49"/>
  <c r="K115" i="49"/>
  <c r="E116" i="68"/>
  <c r="E108" i="68"/>
  <c r="H81" i="68"/>
  <c r="G81" i="68" s="1"/>
  <c r="F81" i="68" s="1"/>
  <c r="E81" i="68" s="1"/>
  <c r="D81" i="68" s="1"/>
  <c r="K81" i="68"/>
  <c r="L82" i="68"/>
  <c r="K80" i="68"/>
  <c r="E113" i="68"/>
  <c r="E109" i="68"/>
  <c r="F103" i="68"/>
  <c r="E102" i="68"/>
  <c r="E94" i="68"/>
  <c r="C90" i="68"/>
  <c r="E98" i="68" s="1"/>
  <c r="J88" i="68"/>
  <c r="J87" i="68"/>
  <c r="H117" i="68" l="1"/>
  <c r="J110" i="68" s="1"/>
  <c r="J111" i="68" s="1"/>
  <c r="J112" i="68" s="1"/>
  <c r="H105" i="68"/>
  <c r="J98" i="68" s="1"/>
  <c r="J99" i="68" s="1"/>
  <c r="J100" i="68" s="1"/>
  <c r="F26" i="68" l="1"/>
  <c r="E114" i="49" l="1"/>
  <c r="E99" i="49"/>
  <c r="E86" i="49"/>
  <c r="H122" i="49"/>
  <c r="E118" i="49"/>
  <c r="C95" i="49"/>
  <c r="E103" i="49" s="1"/>
  <c r="K93" i="49"/>
  <c r="K92" i="49"/>
  <c r="K93" i="78"/>
  <c r="K95" i="78" s="1"/>
  <c r="K103" i="78"/>
  <c r="K105" i="78" s="1"/>
  <c r="E102" i="78"/>
  <c r="E99" i="78"/>
  <c r="E70" i="78"/>
  <c r="E98" i="78"/>
  <c r="E83" i="78"/>
  <c r="C79" i="78"/>
  <c r="E87" i="78" s="1"/>
  <c r="K74" i="49" l="1"/>
  <c r="E33" i="49"/>
  <c r="D71" i="79" l="1"/>
  <c r="D69" i="79"/>
  <c r="D67" i="79"/>
  <c r="D66" i="79"/>
  <c r="D64" i="79"/>
  <c r="D63" i="79"/>
  <c r="D62" i="79"/>
  <c r="D72" i="79" s="1"/>
  <c r="B44" i="79" s="1"/>
  <c r="B60" i="79"/>
  <c r="G59" i="79"/>
  <c r="D55" i="79"/>
  <c r="D54" i="79"/>
  <c r="E55" i="79" s="1"/>
  <c r="B48" i="79"/>
  <c r="B47" i="79"/>
  <c r="B45" i="79"/>
  <c r="B43" i="79"/>
  <c r="C30" i="79"/>
  <c r="B46" i="79" s="1"/>
  <c r="B21" i="79"/>
  <c r="D10" i="79"/>
  <c r="B10" i="79"/>
  <c r="B9" i="79" s="1"/>
  <c r="D11" i="79" s="1"/>
  <c r="D23" i="79" s="1"/>
  <c r="B23" i="79" s="1"/>
  <c r="B22" i="79" s="1"/>
  <c r="B42" i="79" s="1"/>
  <c r="K56" i="78"/>
  <c r="H50" i="78" s="1"/>
  <c r="H55" i="78"/>
  <c r="L45" i="78"/>
  <c r="L44" i="78"/>
  <c r="C43" i="78"/>
  <c r="G39" i="78"/>
  <c r="G37" i="78"/>
  <c r="F34" i="78"/>
  <c r="G34" i="78" s="1"/>
  <c r="H40" i="78" s="1"/>
  <c r="H28" i="78"/>
  <c r="H27" i="78"/>
  <c r="H23" i="78"/>
  <c r="F14" i="78"/>
  <c r="G12" i="78"/>
  <c r="F13" i="78" s="1"/>
  <c r="H8" i="78"/>
  <c r="G14" i="78" l="1"/>
  <c r="H14" i="78" s="1"/>
  <c r="H30" i="78" s="1"/>
  <c r="E41" i="78" s="1"/>
  <c r="H41" i="78" s="1"/>
  <c r="B49" i="79"/>
  <c r="D60" i="79"/>
  <c r="C40" i="79"/>
  <c r="E49" i="68"/>
  <c r="E107" i="49" l="1"/>
  <c r="F108" i="49" s="1"/>
  <c r="E43" i="78"/>
  <c r="G43" i="78" s="1"/>
  <c r="H44" i="78" s="1"/>
  <c r="H45" i="78" s="1"/>
  <c r="L46" i="78"/>
  <c r="L47" i="78" s="1"/>
  <c r="H46" i="78" l="1"/>
  <c r="N31" i="68"/>
  <c r="N36" i="68"/>
  <c r="M34" i="68"/>
  <c r="M33" i="68"/>
  <c r="F22" i="68"/>
  <c r="G21" i="68"/>
  <c r="G20" i="68"/>
  <c r="G19" i="68"/>
  <c r="H47" i="78" l="1"/>
  <c r="H48" i="78" s="1"/>
  <c r="H21" i="68"/>
  <c r="E54" i="68" s="1"/>
  <c r="H51" i="78" l="1"/>
  <c r="H56" i="78" s="1"/>
  <c r="B56" i="78" s="1"/>
  <c r="E69" i="78"/>
  <c r="E82" i="78"/>
  <c r="E84" i="78" s="1"/>
  <c r="E71" i="78" l="1"/>
  <c r="E97" i="78"/>
  <c r="E88" i="78"/>
  <c r="E86" i="78"/>
  <c r="E39" i="49"/>
  <c r="E38" i="49"/>
  <c r="F37" i="49"/>
  <c r="E72" i="78" l="1"/>
  <c r="E75" i="78" s="1"/>
  <c r="F75" i="78" s="1"/>
  <c r="G75" i="78" s="1"/>
  <c r="H75" i="78" s="1"/>
  <c r="F88" i="78"/>
  <c r="E32" i="49"/>
  <c r="E31" i="49"/>
  <c r="E30" i="49"/>
  <c r="F29" i="49"/>
  <c r="E77" i="78" l="1"/>
  <c r="F77" i="78" s="1"/>
  <c r="G77" i="78" s="1"/>
  <c r="H77" i="78" s="1"/>
  <c r="E74" i="78"/>
  <c r="F74" i="78" s="1"/>
  <c r="G74" i="78" s="1"/>
  <c r="H74" i="78" s="1"/>
  <c r="E76" i="78"/>
  <c r="F76" i="78" s="1"/>
  <c r="G76" i="78" s="1"/>
  <c r="H76" i="78" s="1"/>
  <c r="H82" i="78"/>
  <c r="H83" i="78"/>
  <c r="H79" i="78" l="1"/>
  <c r="E90" i="78" s="1"/>
  <c r="E91" i="78" s="1"/>
  <c r="E92" i="78" s="1"/>
  <c r="E101" i="78"/>
  <c r="AG103" i="25"/>
  <c r="AG110" i="25" s="1"/>
  <c r="AG96" i="25"/>
  <c r="AG83" i="25"/>
  <c r="AG90" i="25" s="1"/>
  <c r="X60" i="25"/>
  <c r="AG62" i="25" s="1"/>
  <c r="AG116" i="25" s="1"/>
  <c r="AG41" i="25"/>
  <c r="G65" i="18"/>
  <c r="G66" i="18" s="1"/>
  <c r="F65" i="18"/>
  <c r="F66" i="18" s="1"/>
  <c r="H56" i="18"/>
  <c r="I56" i="18" s="1"/>
  <c r="I51" i="18"/>
  <c r="H41" i="18"/>
  <c r="E38" i="18"/>
  <c r="G38" i="18" s="1"/>
  <c r="B37" i="18"/>
  <c r="C37" i="18" s="1"/>
  <c r="E37" i="18" s="1"/>
  <c r="G37" i="18" s="1"/>
  <c r="B36" i="18"/>
  <c r="C36" i="18" s="1"/>
  <c r="E36" i="18" s="1"/>
  <c r="H30" i="18"/>
  <c r="I30" i="18" s="1"/>
  <c r="G23" i="18"/>
  <c r="H24" i="18" s="1"/>
  <c r="I24" i="18" s="1"/>
  <c r="H14" i="18"/>
  <c r="I14" i="18" s="1"/>
  <c r="G8" i="18"/>
  <c r="H8" i="18" s="1"/>
  <c r="I5" i="18"/>
  <c r="H5" i="18"/>
  <c r="D39" i="26"/>
  <c r="B39" i="26" s="1"/>
  <c r="B27" i="26" s="1"/>
  <c r="D23" i="26"/>
  <c r="B23" i="26" s="1"/>
  <c r="B21" i="26"/>
  <c r="E14" i="21"/>
  <c r="B11" i="21"/>
  <c r="H82" i="58"/>
  <c r="G82" i="58"/>
  <c r="F82" i="58"/>
  <c r="C82" i="58"/>
  <c r="H75" i="58"/>
  <c r="H76" i="58" s="1"/>
  <c r="F92" i="58" s="1"/>
  <c r="G67" i="58"/>
  <c r="H54" i="58"/>
  <c r="G45" i="58"/>
  <c r="H41" i="58"/>
  <c r="G36" i="58"/>
  <c r="F36" i="58"/>
  <c r="G28" i="58"/>
  <c r="H29" i="58" s="1"/>
  <c r="D20" i="58"/>
  <c r="F19" i="58"/>
  <c r="F18" i="58"/>
  <c r="F16" i="58"/>
  <c r="G12" i="58"/>
  <c r="H8" i="58"/>
  <c r="H2" i="58"/>
  <c r="F93" i="58" s="1"/>
  <c r="H46" i="69"/>
  <c r="N41" i="69"/>
  <c r="N40" i="69"/>
  <c r="N39" i="69"/>
  <c r="N38" i="69"/>
  <c r="L36" i="69"/>
  <c r="G33" i="69"/>
  <c r="F31" i="69"/>
  <c r="G31" i="69" s="1"/>
  <c r="H34" i="69" s="1"/>
  <c r="N29" i="69"/>
  <c r="N28" i="69"/>
  <c r="N36" i="69" s="1"/>
  <c r="L24" i="69"/>
  <c r="L23" i="69"/>
  <c r="L22" i="69"/>
  <c r="L21" i="69"/>
  <c r="G21" i="69"/>
  <c r="G22" i="69" s="1"/>
  <c r="H23" i="69" s="1"/>
  <c r="H17" i="69"/>
  <c r="L14" i="69"/>
  <c r="F13" i="69"/>
  <c r="N11" i="69"/>
  <c r="L11" i="69" s="1"/>
  <c r="L10" i="69" s="1"/>
  <c r="L20" i="69" s="1"/>
  <c r="L25" i="69" s="1"/>
  <c r="H14" i="69" s="1"/>
  <c r="F10" i="69"/>
  <c r="G11" i="69" s="1"/>
  <c r="L9" i="69"/>
  <c r="G9" i="69"/>
  <c r="L6" i="69"/>
  <c r="H5" i="69"/>
  <c r="A39" i="72"/>
  <c r="G31" i="72"/>
  <c r="G25" i="72"/>
  <c r="H27" i="72" s="1"/>
  <c r="F25" i="72"/>
  <c r="G14" i="72"/>
  <c r="H15" i="72" s="1"/>
  <c r="M8" i="72"/>
  <c r="H8" i="72"/>
  <c r="L7" i="72"/>
  <c r="G4" i="72" s="1"/>
  <c r="H5" i="72" s="1"/>
  <c r="H17" i="72" s="1"/>
  <c r="E28" i="72" s="1"/>
  <c r="H28" i="72" s="1"/>
  <c r="A41" i="74"/>
  <c r="H38" i="74"/>
  <c r="H39" i="74" s="1"/>
  <c r="G31" i="74"/>
  <c r="H27" i="74"/>
  <c r="G24" i="74"/>
  <c r="F23" i="74"/>
  <c r="H15" i="74"/>
  <c r="G14" i="74"/>
  <c r="L12" i="74"/>
  <c r="G5" i="74"/>
  <c r="L4" i="74"/>
  <c r="L8" i="74" s="1"/>
  <c r="L2" i="74" s="1"/>
  <c r="G4" i="74" s="1"/>
  <c r="H5" i="74" s="1"/>
  <c r="H17" i="74" s="1"/>
  <c r="E28" i="74" s="1"/>
  <c r="H28" i="74" s="1"/>
  <c r="A41" i="73"/>
  <c r="H38" i="73"/>
  <c r="H39" i="73" s="1"/>
  <c r="G31" i="73"/>
  <c r="G24" i="73"/>
  <c r="H27" i="73" s="1"/>
  <c r="F23" i="73"/>
  <c r="G14" i="73"/>
  <c r="H15" i="73" s="1"/>
  <c r="H17" i="73" s="1"/>
  <c r="E28" i="73" s="1"/>
  <c r="H28" i="73" s="1"/>
  <c r="M7" i="73"/>
  <c r="M5" i="73"/>
  <c r="L9" i="73" s="1"/>
  <c r="H5" i="73"/>
  <c r="M3" i="73"/>
  <c r="A37" i="70"/>
  <c r="G29" i="70"/>
  <c r="H25" i="70"/>
  <c r="G23" i="70"/>
  <c r="G21" i="70"/>
  <c r="F20" i="70"/>
  <c r="F19" i="70"/>
  <c r="F18" i="70"/>
  <c r="H13" i="70"/>
  <c r="G12" i="70"/>
  <c r="M8" i="70"/>
  <c r="G4" i="70" s="1"/>
  <c r="H5" i="70" s="1"/>
  <c r="H15" i="70" s="1"/>
  <c r="E26" i="70" s="1"/>
  <c r="H26" i="70" s="1"/>
  <c r="M7" i="70"/>
  <c r="A39" i="71"/>
  <c r="L36" i="71"/>
  <c r="L34" i="71"/>
  <c r="L32" i="71"/>
  <c r="G31" i="71"/>
  <c r="F25" i="71"/>
  <c r="G25" i="71" s="1"/>
  <c r="H27" i="71" s="1"/>
  <c r="H15" i="71"/>
  <c r="G14" i="71"/>
  <c r="M8" i="71"/>
  <c r="H8" i="71"/>
  <c r="L7" i="71"/>
  <c r="G5" i="71"/>
  <c r="G4" i="71"/>
  <c r="H5" i="71" s="1"/>
  <c r="H17" i="71" s="1"/>
  <c r="E28" i="71" s="1"/>
  <c r="H28" i="71" s="1"/>
  <c r="M14" i="68"/>
  <c r="H67" i="68"/>
  <c r="C53" i="68"/>
  <c r="F44" i="68"/>
  <c r="G44" i="68" s="1"/>
  <c r="H39" i="68"/>
  <c r="G34" i="68"/>
  <c r="H34" i="68" s="1"/>
  <c r="G26" i="68"/>
  <c r="H26" i="68" s="1"/>
  <c r="G54" i="68"/>
  <c r="H8" i="68"/>
  <c r="H74" i="49"/>
  <c r="C61" i="49"/>
  <c r="G57" i="49"/>
  <c r="H58" i="49" s="1"/>
  <c r="G46" i="49"/>
  <c r="H47" i="49" s="1"/>
  <c r="G12" i="49"/>
  <c r="F13" i="49" s="1"/>
  <c r="G14" i="49" s="1"/>
  <c r="G15" i="49" s="1"/>
  <c r="H16" i="49" s="1"/>
  <c r="H8" i="49"/>
  <c r="G87" i="37"/>
  <c r="H87" i="37" s="1"/>
  <c r="I87" i="37" s="1"/>
  <c r="B86" i="37"/>
  <c r="G75" i="37"/>
  <c r="G67" i="37"/>
  <c r="G64" i="37"/>
  <c r="G62" i="37"/>
  <c r="H68" i="37" s="1"/>
  <c r="I68" i="37" s="1"/>
  <c r="F62" i="37"/>
  <c r="F47" i="37"/>
  <c r="G39" i="37"/>
  <c r="G40" i="37" s="1"/>
  <c r="F39" i="37"/>
  <c r="G34" i="37"/>
  <c r="H41" i="37" s="1"/>
  <c r="I41" i="37" s="1"/>
  <c r="G29" i="37"/>
  <c r="H29" i="37" s="1"/>
  <c r="E74" i="37" s="1"/>
  <c r="G74" i="37" s="1"/>
  <c r="D28" i="37"/>
  <c r="F27" i="37"/>
  <c r="H23" i="37"/>
  <c r="I23" i="37" s="1"/>
  <c r="F23" i="37"/>
  <c r="F22" i="37"/>
  <c r="F21" i="37"/>
  <c r="I20" i="37"/>
  <c r="G20" i="37"/>
  <c r="F20" i="37"/>
  <c r="F19" i="37"/>
  <c r="F18" i="37"/>
  <c r="G17" i="37"/>
  <c r="F17" i="37"/>
  <c r="F16" i="37"/>
  <c r="F14" i="37"/>
  <c r="F13" i="37"/>
  <c r="G14" i="37" s="1"/>
  <c r="F15" i="37" s="1"/>
  <c r="G12" i="37"/>
  <c r="H14" i="37" s="1"/>
  <c r="G11" i="37"/>
  <c r="G9" i="37"/>
  <c r="I7" i="37"/>
  <c r="H7" i="37"/>
  <c r="H49" i="37" s="1"/>
  <c r="H94" i="36"/>
  <c r="I94" i="36" s="1"/>
  <c r="G92" i="36"/>
  <c r="B93" i="36" s="1"/>
  <c r="G81" i="36"/>
  <c r="G74" i="36"/>
  <c r="G72" i="36"/>
  <c r="F70" i="36"/>
  <c r="G70" i="36" s="1"/>
  <c r="H75" i="36" s="1"/>
  <c r="I75" i="36" s="1"/>
  <c r="F53" i="36"/>
  <c r="F45" i="36"/>
  <c r="G45" i="36" s="1"/>
  <c r="G46" i="36" s="1"/>
  <c r="F38" i="36"/>
  <c r="G38" i="36" s="1"/>
  <c r="G40" i="36" s="1"/>
  <c r="H47" i="36" s="1"/>
  <c r="I47" i="36" s="1"/>
  <c r="G32" i="36"/>
  <c r="E82" i="36" s="1"/>
  <c r="G82" i="36" s="1"/>
  <c r="F31" i="36"/>
  <c r="F28" i="36"/>
  <c r="E25" i="36"/>
  <c r="F26" i="36" s="1"/>
  <c r="G28" i="36" s="1"/>
  <c r="H33" i="36" s="1"/>
  <c r="H55" i="36" s="1"/>
  <c r="H22" i="36"/>
  <c r="I22" i="36" s="1"/>
  <c r="F22" i="36"/>
  <c r="F21" i="36"/>
  <c r="I19" i="36"/>
  <c r="G19" i="36"/>
  <c r="F20" i="36" s="1"/>
  <c r="F19" i="36"/>
  <c r="F18" i="36"/>
  <c r="F17" i="36"/>
  <c r="G16" i="36"/>
  <c r="F16" i="36"/>
  <c r="F15" i="36"/>
  <c r="F13" i="36"/>
  <c r="G11" i="36"/>
  <c r="F12" i="36" s="1"/>
  <c r="G13" i="36" s="1"/>
  <c r="F14" i="36" s="1"/>
  <c r="H7" i="36"/>
  <c r="I7" i="36" s="1"/>
  <c r="H98" i="35"/>
  <c r="I98" i="35" s="1"/>
  <c r="G76" i="35"/>
  <c r="F71" i="35"/>
  <c r="G71" i="35" s="1"/>
  <c r="H77" i="35" s="1"/>
  <c r="I77" i="35" s="1"/>
  <c r="F54" i="35"/>
  <c r="I48" i="35"/>
  <c r="H48" i="35"/>
  <c r="F46" i="35"/>
  <c r="G46" i="35" s="1"/>
  <c r="G47" i="35" s="1"/>
  <c r="G41" i="35"/>
  <c r="G36" i="35"/>
  <c r="F34" i="35"/>
  <c r="F32" i="35"/>
  <c r="E32" i="35"/>
  <c r="E31" i="35"/>
  <c r="F31" i="35" s="1"/>
  <c r="F30" i="35"/>
  <c r="F33" i="35" s="1"/>
  <c r="G35" i="35" s="1"/>
  <c r="H36" i="35" s="1"/>
  <c r="H24" i="35"/>
  <c r="I24" i="35" s="1"/>
  <c r="G21" i="35"/>
  <c r="G18" i="35"/>
  <c r="F19" i="35" s="1"/>
  <c r="F13" i="35"/>
  <c r="G14" i="35" s="1"/>
  <c r="G15" i="35" s="1"/>
  <c r="H25" i="35" s="1"/>
  <c r="I21" i="35" s="1"/>
  <c r="G12" i="35"/>
  <c r="G7" i="35"/>
  <c r="G5" i="35"/>
  <c r="H8" i="35" s="1"/>
  <c r="H91" i="33"/>
  <c r="I91" i="33" s="1"/>
  <c r="B89" i="33"/>
  <c r="H73" i="33"/>
  <c r="I73" i="33" s="1"/>
  <c r="G72" i="33"/>
  <c r="G67" i="33"/>
  <c r="F67" i="33"/>
  <c r="L60" i="33"/>
  <c r="L59" i="33"/>
  <c r="F49" i="33"/>
  <c r="H43" i="33"/>
  <c r="I43" i="33" s="1"/>
  <c r="F41" i="33"/>
  <c r="G41" i="33" s="1"/>
  <c r="G42" i="33" s="1"/>
  <c r="G36" i="33"/>
  <c r="H29" i="33"/>
  <c r="I29" i="33" s="1"/>
  <c r="H26" i="33"/>
  <c r="I26" i="33" s="1"/>
  <c r="G23" i="33"/>
  <c r="F21" i="33"/>
  <c r="G20" i="33"/>
  <c r="F15" i="33"/>
  <c r="G16" i="33" s="1"/>
  <c r="G14" i="33"/>
  <c r="G6" i="33"/>
  <c r="G5" i="33"/>
  <c r="H10" i="33" s="1"/>
  <c r="B77" i="32"/>
  <c r="G60" i="32"/>
  <c r="F55" i="32"/>
  <c r="G55" i="32" s="1"/>
  <c r="H61" i="32" s="1"/>
  <c r="I61" i="32" s="1"/>
  <c r="F38" i="32"/>
  <c r="F30" i="32"/>
  <c r="G30" i="32" s="1"/>
  <c r="G31" i="32" s="1"/>
  <c r="G25" i="32"/>
  <c r="H32" i="32" s="1"/>
  <c r="I32" i="32" s="1"/>
  <c r="H20" i="32"/>
  <c r="I20" i="32" s="1"/>
  <c r="I17" i="32"/>
  <c r="H17" i="32"/>
  <c r="G12" i="32"/>
  <c r="F13" i="32" s="1"/>
  <c r="G14" i="32" s="1"/>
  <c r="H8" i="32"/>
  <c r="I8" i="32" s="1"/>
  <c r="G7" i="32"/>
  <c r="G5" i="32"/>
  <c r="H81" i="29"/>
  <c r="I81" i="29" s="1"/>
  <c r="B78" i="29"/>
  <c r="I74" i="29"/>
  <c r="G68" i="29"/>
  <c r="E68" i="29"/>
  <c r="G55" i="29"/>
  <c r="H61" i="29" s="1"/>
  <c r="I61" i="29" s="1"/>
  <c r="F55" i="29"/>
  <c r="F39" i="29"/>
  <c r="F31" i="29"/>
  <c r="G31" i="29" s="1"/>
  <c r="G32" i="29" s="1"/>
  <c r="G26" i="29"/>
  <c r="H33" i="29" s="1"/>
  <c r="I33" i="29" s="1"/>
  <c r="H21" i="29"/>
  <c r="I21" i="29" s="1"/>
  <c r="H18" i="29"/>
  <c r="I18" i="29" s="1"/>
  <c r="G10" i="29"/>
  <c r="F11" i="29" s="1"/>
  <c r="G12" i="29" s="1"/>
  <c r="G13" i="29" s="1"/>
  <c r="G15" i="29" s="1"/>
  <c r="H15" i="29" s="1"/>
  <c r="I15" i="29" s="1"/>
  <c r="H6" i="29"/>
  <c r="H41" i="29" s="1"/>
  <c r="G6" i="29"/>
  <c r="B83" i="28"/>
  <c r="I79" i="28"/>
  <c r="G65" i="28"/>
  <c r="G63" i="28"/>
  <c r="G60" i="28"/>
  <c r="H66" i="28" s="1"/>
  <c r="I66" i="28" s="1"/>
  <c r="F60" i="28"/>
  <c r="F44" i="28"/>
  <c r="F36" i="28"/>
  <c r="G36" i="28" s="1"/>
  <c r="G37" i="28" s="1"/>
  <c r="H38" i="28" s="1"/>
  <c r="I38" i="28" s="1"/>
  <c r="G31" i="28"/>
  <c r="I26" i="28"/>
  <c r="H26" i="28"/>
  <c r="H23" i="28"/>
  <c r="I23" i="28" s="1"/>
  <c r="F18" i="28"/>
  <c r="G19" i="28" s="1"/>
  <c r="G17" i="28"/>
  <c r="G10" i="28"/>
  <c r="F11" i="28" s="1"/>
  <c r="G12" i="28" s="1"/>
  <c r="H6" i="28"/>
  <c r="I5" i="28" s="1"/>
  <c r="G6" i="28"/>
  <c r="B72" i="31"/>
  <c r="G55" i="31"/>
  <c r="G50" i="31"/>
  <c r="H56" i="31" s="1"/>
  <c r="I56" i="31" s="1"/>
  <c r="F50" i="31"/>
  <c r="F35" i="31"/>
  <c r="F27" i="31"/>
  <c r="G27" i="31" s="1"/>
  <c r="G28" i="31" s="1"/>
  <c r="G22" i="31"/>
  <c r="H29" i="31" s="1"/>
  <c r="I29" i="31" s="1"/>
  <c r="I17" i="31"/>
  <c r="H17" i="31"/>
  <c r="H14" i="31"/>
  <c r="I14" i="31" s="1"/>
  <c r="F11" i="31"/>
  <c r="G11" i="31" s="1"/>
  <c r="H11" i="31" s="1"/>
  <c r="I11" i="31" s="1"/>
  <c r="G9" i="31"/>
  <c r="I5" i="31"/>
  <c r="H5" i="31"/>
  <c r="H37" i="31" s="1"/>
  <c r="H75" i="30"/>
  <c r="I75" i="30" s="1"/>
  <c r="B72" i="30"/>
  <c r="G55" i="30"/>
  <c r="F50" i="30"/>
  <c r="G50" i="30" s="1"/>
  <c r="H56" i="30" s="1"/>
  <c r="I56" i="30" s="1"/>
  <c r="F35" i="30"/>
  <c r="G28" i="30"/>
  <c r="G27" i="30"/>
  <c r="F27" i="30"/>
  <c r="G22" i="30"/>
  <c r="H29" i="30" s="1"/>
  <c r="I29" i="30" s="1"/>
  <c r="H17" i="30"/>
  <c r="I17" i="30" s="1"/>
  <c r="F15" i="30"/>
  <c r="H14" i="30"/>
  <c r="I14" i="30" s="1"/>
  <c r="F14" i="30"/>
  <c r="F13" i="30"/>
  <c r="F12" i="30"/>
  <c r="F11" i="30"/>
  <c r="G9" i="30"/>
  <c r="H11" i="30" s="1"/>
  <c r="H5" i="30"/>
  <c r="I5" i="30" s="1"/>
  <c r="G72" i="6"/>
  <c r="G56" i="6"/>
  <c r="F51" i="6"/>
  <c r="G51" i="6" s="1"/>
  <c r="H57" i="6" s="1"/>
  <c r="I57" i="6" s="1"/>
  <c r="F35" i="6"/>
  <c r="G27" i="6"/>
  <c r="G28" i="6" s="1"/>
  <c r="H29" i="6" s="1"/>
  <c r="I29" i="6" s="1"/>
  <c r="F27" i="6"/>
  <c r="G22" i="6"/>
  <c r="H17" i="6"/>
  <c r="I17" i="6" s="1"/>
  <c r="H14" i="6"/>
  <c r="H11" i="18" s="1"/>
  <c r="I11" i="18" s="1"/>
  <c r="G9" i="6"/>
  <c r="F10" i="6" s="1"/>
  <c r="G11" i="6" s="1"/>
  <c r="N8" i="6"/>
  <c r="L8" i="6"/>
  <c r="I5" i="6"/>
  <c r="H5" i="6"/>
  <c r="D3" i="1"/>
  <c r="B59" i="30" s="1"/>
  <c r="D2" i="1"/>
  <c r="E1" i="1"/>
  <c r="F3" i="1" s="1"/>
  <c r="E55" i="68" l="1"/>
  <c r="G55" i="68" s="1"/>
  <c r="M81" i="68"/>
  <c r="M82" i="68" s="1"/>
  <c r="E100" i="78"/>
  <c r="F92" i="78"/>
  <c r="E69" i="37"/>
  <c r="H69" i="37" s="1"/>
  <c r="I49" i="37"/>
  <c r="G20" i="28"/>
  <c r="F101" i="58"/>
  <c r="F94" i="58"/>
  <c r="E97" i="58" s="1"/>
  <c r="F97" i="58" s="1"/>
  <c r="E102" i="58" s="1"/>
  <c r="G36" i="18"/>
  <c r="I11" i="30"/>
  <c r="H37" i="30"/>
  <c r="E30" i="72"/>
  <c r="G30" i="72" s="1"/>
  <c r="H29" i="72" s="1"/>
  <c r="F99" i="58"/>
  <c r="H45" i="18"/>
  <c r="E30" i="71"/>
  <c r="G30" i="71" s="1"/>
  <c r="H29" i="71" s="1"/>
  <c r="E62" i="29"/>
  <c r="I41" i="29"/>
  <c r="E57" i="31"/>
  <c r="I37" i="31"/>
  <c r="I36" i="35"/>
  <c r="E83" i="35"/>
  <c r="G83" i="35" s="1"/>
  <c r="E30" i="74"/>
  <c r="G30" i="74" s="1"/>
  <c r="H29" i="74" s="1"/>
  <c r="E30" i="73"/>
  <c r="G30" i="73" s="1"/>
  <c r="H29" i="73" s="1"/>
  <c r="I10" i="33"/>
  <c r="H51" i="33"/>
  <c r="I8" i="35"/>
  <c r="H56" i="35"/>
  <c r="H30" i="70"/>
  <c r="M30" i="70"/>
  <c r="E28" i="70"/>
  <c r="G28" i="70" s="1"/>
  <c r="H27" i="70" s="1"/>
  <c r="H32" i="70" s="1"/>
  <c r="G17" i="33"/>
  <c r="H23" i="33" s="1"/>
  <c r="I23" i="33" s="1"/>
  <c r="I55" i="36"/>
  <c r="E76" i="36"/>
  <c r="H76" i="36" s="1"/>
  <c r="H11" i="69"/>
  <c r="H25" i="69" s="1"/>
  <c r="E35" i="69" s="1"/>
  <c r="H35" i="69" s="1"/>
  <c r="E37" i="69" s="1"/>
  <c r="G37" i="69" s="1"/>
  <c r="H38" i="69" s="1"/>
  <c r="H26" i="18"/>
  <c r="D32" i="18" s="1"/>
  <c r="H32" i="18" s="1"/>
  <c r="E35" i="18" s="1"/>
  <c r="G35" i="18" s="1"/>
  <c r="G40" i="18" s="1"/>
  <c r="I8" i="18"/>
  <c r="E20" i="58"/>
  <c r="F20" i="58" s="1"/>
  <c r="G20" i="58" s="1"/>
  <c r="H21" i="58" s="1"/>
  <c r="I14" i="6"/>
  <c r="F10" i="30"/>
  <c r="I41" i="18"/>
  <c r="I5" i="29"/>
  <c r="F21" i="49"/>
  <c r="H43" i="18"/>
  <c r="I43" i="18" s="1"/>
  <c r="B60" i="6"/>
  <c r="M8" i="73"/>
  <c r="H4" i="58"/>
  <c r="B73" i="6"/>
  <c r="E3" i="21" s="1"/>
  <c r="F23" i="49"/>
  <c r="F13" i="58"/>
  <c r="G14" i="58" s="1"/>
  <c r="H14" i="58" s="1"/>
  <c r="H31" i="58" s="1"/>
  <c r="E42" i="58" s="1"/>
  <c r="H42" i="58" s="1"/>
  <c r="E44" i="58" s="1"/>
  <c r="G44" i="58" s="1"/>
  <c r="H45" i="58" s="1"/>
  <c r="H47" i="58" s="1"/>
  <c r="B22" i="26"/>
  <c r="F33" i="49"/>
  <c r="F34" i="49" s="1"/>
  <c r="G35" i="49" s="1"/>
  <c r="B32" i="49"/>
  <c r="H14" i="32"/>
  <c r="H11" i="6"/>
  <c r="G13" i="28"/>
  <c r="H20" i="28" s="1"/>
  <c r="I20" i="28" s="1"/>
  <c r="H50" i="68"/>
  <c r="N34" i="68"/>
  <c r="N37" i="68" s="1"/>
  <c r="M16" i="68" s="1"/>
  <c r="M17" i="68" s="1"/>
  <c r="F39" i="49"/>
  <c r="F40" i="49" s="1"/>
  <c r="G41" i="49" s="1"/>
  <c r="H90" i="78" l="1"/>
  <c r="H91" i="78"/>
  <c r="H85" i="78"/>
  <c r="H86" i="78"/>
  <c r="H87" i="78"/>
  <c r="H88" i="78"/>
  <c r="H89" i="78"/>
  <c r="H84" i="78"/>
  <c r="H41" i="49"/>
  <c r="E62" i="49" s="1"/>
  <c r="G62" i="49" s="1"/>
  <c r="H40" i="69"/>
  <c r="H39" i="69"/>
  <c r="H41" i="69" s="1"/>
  <c r="H47" i="69" s="1"/>
  <c r="B47" i="69" s="1"/>
  <c r="H49" i="58"/>
  <c r="H48" i="58"/>
  <c r="H50" i="58" s="1"/>
  <c r="H55" i="58" s="1"/>
  <c r="B55" i="58" s="1"/>
  <c r="I45" i="18"/>
  <c r="E45" i="18"/>
  <c r="H32" i="72"/>
  <c r="H32" i="74"/>
  <c r="H34" i="72"/>
  <c r="H32" i="71"/>
  <c r="H34" i="71" s="1"/>
  <c r="E57" i="30"/>
  <c r="I37" i="30"/>
  <c r="I14" i="32"/>
  <c r="H40" i="32"/>
  <c r="G83" i="36"/>
  <c r="E78" i="36"/>
  <c r="G78" i="36" s="1"/>
  <c r="G80" i="36" s="1"/>
  <c r="H83" i="36" s="1"/>
  <c r="I76" i="36"/>
  <c r="I11" i="6"/>
  <c r="H37" i="6"/>
  <c r="H57" i="31"/>
  <c r="E59" i="31"/>
  <c r="G59" i="31" s="1"/>
  <c r="G61" i="31" s="1"/>
  <c r="E74" i="33"/>
  <c r="I51" i="33"/>
  <c r="H32" i="73"/>
  <c r="H46" i="28"/>
  <c r="H34" i="70"/>
  <c r="H35" i="70" s="1"/>
  <c r="M37" i="70" s="1"/>
  <c r="H33" i="70"/>
  <c r="F103" i="58"/>
  <c r="E103" i="58"/>
  <c r="F22" i="49"/>
  <c r="G25" i="49" s="1"/>
  <c r="H62" i="29"/>
  <c r="I62" i="29" s="1"/>
  <c r="E64" i="29"/>
  <c r="G64" i="29" s="1"/>
  <c r="G66" i="29" s="1"/>
  <c r="H68" i="29" s="1"/>
  <c r="G41" i="18"/>
  <c r="F32" i="18"/>
  <c r="H47" i="18"/>
  <c r="I47" i="18" s="1"/>
  <c r="I32" i="18"/>
  <c r="E21" i="21"/>
  <c r="E78" i="35"/>
  <c r="I56" i="35"/>
  <c r="E71" i="37"/>
  <c r="G71" i="37" s="1"/>
  <c r="G73" i="37" s="1"/>
  <c r="H76" i="37" s="1"/>
  <c r="I69" i="37"/>
  <c r="G76" i="37"/>
  <c r="H16" i="68"/>
  <c r="H35" i="68" s="1"/>
  <c r="H40" i="68" s="1"/>
  <c r="H51" i="68" s="1"/>
  <c r="E53" i="68" l="1"/>
  <c r="H94" i="78"/>
  <c r="E103" i="78"/>
  <c r="H104" i="78" s="1"/>
  <c r="H36" i="71"/>
  <c r="H35" i="71"/>
  <c r="H37" i="71" s="1"/>
  <c r="E76" i="33"/>
  <c r="G76" i="33" s="1"/>
  <c r="G78" i="33" s="1"/>
  <c r="H74" i="33"/>
  <c r="H78" i="37"/>
  <c r="I78" i="37" s="1"/>
  <c r="H77" i="37"/>
  <c r="I77" i="37" s="1"/>
  <c r="I76" i="37"/>
  <c r="E67" i="28"/>
  <c r="I46" i="28"/>
  <c r="G62" i="31"/>
  <c r="H62" i="31" s="1"/>
  <c r="I57" i="31"/>
  <c r="I37" i="6"/>
  <c r="E58" i="6"/>
  <c r="H36" i="72"/>
  <c r="H35" i="72"/>
  <c r="H37" i="72" s="1"/>
  <c r="H70" i="29"/>
  <c r="I70" i="29" s="1"/>
  <c r="H69" i="29"/>
  <c r="I69" i="29" s="1"/>
  <c r="I68" i="29"/>
  <c r="H49" i="18"/>
  <c r="H78" i="35"/>
  <c r="E80" i="35"/>
  <c r="G80" i="35" s="1"/>
  <c r="G82" i="35" s="1"/>
  <c r="H84" i="35" s="1"/>
  <c r="E59" i="30"/>
  <c r="G59" i="30" s="1"/>
  <c r="G61" i="30" s="1"/>
  <c r="H57" i="30"/>
  <c r="I40" i="32"/>
  <c r="E62" i="32"/>
  <c r="H84" i="36"/>
  <c r="I84" i="36" s="1"/>
  <c r="I83" i="36"/>
  <c r="H85" i="36"/>
  <c r="I85" i="36" s="1"/>
  <c r="H25" i="49"/>
  <c r="H49" i="49" s="1"/>
  <c r="E59" i="49" s="1"/>
  <c r="H59" i="49" s="1"/>
  <c r="E61" i="49" s="1"/>
  <c r="G61" i="49" s="1"/>
  <c r="G53" i="68" l="1"/>
  <c r="H55" i="68" s="1"/>
  <c r="H56" i="68" s="1"/>
  <c r="H57" i="68" s="1"/>
  <c r="H58" i="68" s="1"/>
  <c r="L55" i="68"/>
  <c r="L56" i="68" s="1"/>
  <c r="H67" i="78"/>
  <c r="H64" i="31"/>
  <c r="I64" i="31" s="1"/>
  <c r="H63" i="31"/>
  <c r="I63" i="31" s="1"/>
  <c r="I62" i="31"/>
  <c r="H85" i="35"/>
  <c r="I84" i="35"/>
  <c r="I57" i="30"/>
  <c r="G62" i="30"/>
  <c r="H62" i="30" s="1"/>
  <c r="I78" i="35"/>
  <c r="G84" i="35"/>
  <c r="I74" i="33"/>
  <c r="G79" i="33"/>
  <c r="H79" i="33" s="1"/>
  <c r="E60" i="6"/>
  <c r="G60" i="6" s="1"/>
  <c r="G62" i="6" s="1"/>
  <c r="H58" i="6"/>
  <c r="H79" i="37"/>
  <c r="H86" i="36"/>
  <c r="E69" i="28"/>
  <c r="G69" i="28" s="1"/>
  <c r="H67" i="28"/>
  <c r="H52" i="18"/>
  <c r="I49" i="18"/>
  <c r="H71" i="29"/>
  <c r="H73" i="29" s="1"/>
  <c r="H75" i="29" s="1"/>
  <c r="E64" i="32"/>
  <c r="G64" i="32" s="1"/>
  <c r="G66" i="32" s="1"/>
  <c r="H62" i="32"/>
  <c r="H62" i="49"/>
  <c r="H63" i="49" s="1"/>
  <c r="J63" i="49"/>
  <c r="M63" i="49" l="1"/>
  <c r="M64" i="49" s="1"/>
  <c r="H64" i="30"/>
  <c r="I64" i="30" s="1"/>
  <c r="I62" i="30"/>
  <c r="H63" i="30"/>
  <c r="I63" i="30" s="1"/>
  <c r="H81" i="33"/>
  <c r="I81" i="33" s="1"/>
  <c r="I79" i="33"/>
  <c r="H80" i="33"/>
  <c r="I80" i="33" s="1"/>
  <c r="G67" i="32"/>
  <c r="I62" i="32"/>
  <c r="G72" i="28"/>
  <c r="G71" i="28"/>
  <c r="H73" i="28" s="1"/>
  <c r="H67" i="32"/>
  <c r="H89" i="36"/>
  <c r="I89" i="36" s="1"/>
  <c r="H88" i="36"/>
  <c r="H90" i="36" s="1"/>
  <c r="G73" i="28"/>
  <c r="I67" i="28"/>
  <c r="I52" i="18"/>
  <c r="H58" i="18"/>
  <c r="I75" i="29"/>
  <c r="H82" i="29"/>
  <c r="H86" i="35"/>
  <c r="H87" i="35" s="1"/>
  <c r="H82" i="37"/>
  <c r="I82" i="37" s="1"/>
  <c r="H81" i="37"/>
  <c r="G63" i="6"/>
  <c r="H63" i="6" s="1"/>
  <c r="I58" i="6"/>
  <c r="H65" i="31"/>
  <c r="H67" i="31" s="1"/>
  <c r="H59" i="68"/>
  <c r="H80" i="68" s="1"/>
  <c r="H82" i="68" s="1"/>
  <c r="H64" i="49"/>
  <c r="H65" i="49" s="1"/>
  <c r="E93" i="68" l="1"/>
  <c r="E95" i="68" s="1"/>
  <c r="H64" i="6"/>
  <c r="I64" i="6" s="1"/>
  <c r="H65" i="6"/>
  <c r="I65" i="6" s="1"/>
  <c r="I63" i="6"/>
  <c r="H66" i="6"/>
  <c r="H68" i="6" s="1"/>
  <c r="H89" i="35"/>
  <c r="I89" i="35" s="1"/>
  <c r="H88" i="35"/>
  <c r="I88" i="35" s="1"/>
  <c r="H95" i="36"/>
  <c r="I90" i="36"/>
  <c r="H75" i="28"/>
  <c r="I75" i="28" s="1"/>
  <c r="H74" i="28"/>
  <c r="I74" i="28" s="1"/>
  <c r="I73" i="28"/>
  <c r="H69" i="32"/>
  <c r="I69" i="32" s="1"/>
  <c r="H68" i="32"/>
  <c r="I68" i="32" s="1"/>
  <c r="I67" i="32"/>
  <c r="I58" i="18"/>
  <c r="B58" i="18"/>
  <c r="H82" i="33"/>
  <c r="H84" i="33" s="1"/>
  <c r="I82" i="29"/>
  <c r="B82" i="29"/>
  <c r="H83" i="37"/>
  <c r="H65" i="30"/>
  <c r="H67" i="30" s="1"/>
  <c r="H66" i="49"/>
  <c r="F116" i="68" l="1"/>
  <c r="E99" i="68"/>
  <c r="F99" i="68" s="1"/>
  <c r="E97" i="68"/>
  <c r="E98" i="49"/>
  <c r="E100" i="49" s="1"/>
  <c r="E85" i="49"/>
  <c r="H70" i="32"/>
  <c r="H72" i="32" s="1"/>
  <c r="H76" i="28"/>
  <c r="H78" i="28" s="1"/>
  <c r="H80" i="28" s="1"/>
  <c r="I83" i="37"/>
  <c r="H88" i="37"/>
  <c r="E2" i="21"/>
  <c r="I95" i="36"/>
  <c r="B95" i="36"/>
  <c r="H90" i="35"/>
  <c r="E87" i="49" l="1"/>
  <c r="E88" i="49" s="1"/>
  <c r="E113" i="49"/>
  <c r="E121" i="49" s="1"/>
  <c r="E102" i="49"/>
  <c r="E104" i="49"/>
  <c r="F104" i="49" s="1"/>
  <c r="H99" i="35"/>
  <c r="H92" i="35"/>
  <c r="I88" i="37"/>
  <c r="B88" i="37"/>
  <c r="E20" i="21"/>
  <c r="E22" i="21" s="1"/>
  <c r="E24" i="21" s="1"/>
  <c r="G24" i="21" s="1"/>
  <c r="H24" i="21" s="1"/>
  <c r="E4" i="21"/>
  <c r="G86" i="28"/>
  <c r="H86" i="28" s="1"/>
  <c r="I86" i="28" s="1"/>
  <c r="I80" i="28"/>
  <c r="H105" i="49" l="1"/>
  <c r="H99" i="49"/>
  <c r="H104" i="49"/>
  <c r="H107" i="49"/>
  <c r="H100" i="49"/>
  <c r="H103" i="49"/>
  <c r="H101" i="49"/>
  <c r="H102" i="49"/>
  <c r="H106" i="49"/>
  <c r="H98" i="49"/>
  <c r="H110" i="49" s="1"/>
  <c r="K103" i="49" s="1"/>
  <c r="K104" i="49" s="1"/>
  <c r="K105" i="49" s="1"/>
  <c r="K106" i="49" s="1"/>
  <c r="E92" i="49"/>
  <c r="F92" i="49" s="1"/>
  <c r="G92" i="49" s="1"/>
  <c r="H92" i="49" s="1"/>
  <c r="E93" i="49"/>
  <c r="F93" i="49" s="1"/>
  <c r="G93" i="49" s="1"/>
  <c r="H93" i="49" s="1"/>
  <c r="E90" i="49"/>
  <c r="F90" i="49" s="1"/>
  <c r="G90" i="49" s="1"/>
  <c r="H90" i="49" s="1"/>
  <c r="E91" i="49"/>
  <c r="F91" i="49" s="1"/>
  <c r="G91" i="49" s="1"/>
  <c r="H91" i="49" s="1"/>
  <c r="H87" i="28"/>
  <c r="E5" i="21"/>
  <c r="E13" i="21"/>
  <c r="I99" i="35"/>
  <c r="B99" i="35"/>
  <c r="H95" i="49" l="1"/>
  <c r="H83" i="49" s="1"/>
  <c r="H68" i="49" s="1"/>
  <c r="H69" i="49" s="1"/>
  <c r="H75" i="49" s="1"/>
  <c r="B75" i="49" s="1"/>
  <c r="E7" i="21"/>
  <c r="F7" i="21" s="1"/>
  <c r="G7" i="21" s="1"/>
  <c r="H7" i="21" s="1"/>
  <c r="E9" i="21"/>
  <c r="F9" i="21" s="1"/>
  <c r="G9" i="21" s="1"/>
  <c r="H9" i="21" s="1"/>
  <c r="E8" i="21"/>
  <c r="F8" i="21" s="1"/>
  <c r="G8" i="21" s="1"/>
  <c r="H8" i="21" s="1"/>
  <c r="E16" i="21"/>
  <c r="E15" i="21"/>
  <c r="B87" i="28"/>
  <c r="I87" i="28"/>
  <c r="E18" i="21" l="1"/>
  <c r="G18" i="21" s="1"/>
  <c r="H18" i="21"/>
  <c r="H11" i="21"/>
  <c r="I1" i="21" s="1"/>
  <c r="H68" i="30" l="1"/>
  <c r="H68" i="31"/>
  <c r="H85" i="33"/>
  <c r="H69" i="6"/>
  <c r="H73" i="32"/>
  <c r="I69" i="6" l="1"/>
  <c r="H70" i="6"/>
  <c r="I68" i="31"/>
  <c r="H69" i="31"/>
  <c r="I73" i="32"/>
  <c r="H74" i="32"/>
  <c r="I85" i="33"/>
  <c r="H86" i="33"/>
  <c r="I68" i="30"/>
  <c r="H69" i="30"/>
  <c r="I86" i="33" l="1"/>
  <c r="H92" i="33"/>
  <c r="I69" i="31"/>
  <c r="G74" i="31"/>
  <c r="H74" i="31" s="1"/>
  <c r="I74" i="31" s="1"/>
  <c r="I69" i="30"/>
  <c r="H76" i="30"/>
  <c r="G79" i="32"/>
  <c r="H79" i="32" s="1"/>
  <c r="I79" i="32" s="1"/>
  <c r="I74" i="32"/>
  <c r="G76" i="6"/>
  <c r="H76" i="6" s="1"/>
  <c r="I76" i="6" s="1"/>
  <c r="I70" i="6"/>
  <c r="H77" i="6" l="1"/>
  <c r="H80" i="32"/>
  <c r="I76" i="30"/>
  <c r="B76" i="30"/>
  <c r="H75" i="31"/>
  <c r="I92" i="33"/>
  <c r="B92" i="33"/>
  <c r="B80" i="32" l="1"/>
  <c r="I80" i="32"/>
  <c r="I75" i="31"/>
  <c r="B75" i="31"/>
  <c r="I77" i="6"/>
  <c r="B77" i="6"/>
  <c r="D80" i="68"/>
  <c r="E80" i="68" l="1"/>
  <c r="D82" i="68"/>
  <c r="E85" i="68" s="1"/>
  <c r="F85" i="68" s="1"/>
  <c r="G85" i="68" s="1"/>
  <c r="H85" i="68" s="1"/>
  <c r="E82" i="68" l="1"/>
  <c r="E86" i="68" s="1"/>
  <c r="F86" i="68" s="1"/>
  <c r="G86" i="68" s="1"/>
  <c r="H86" i="68" s="1"/>
  <c r="F80" i="68"/>
  <c r="G80" i="68" l="1"/>
  <c r="G82" i="68" s="1"/>
  <c r="E88" i="68" s="1"/>
  <c r="F88" i="68" s="1"/>
  <c r="G88" i="68" s="1"/>
  <c r="H88" i="68" s="1"/>
  <c r="F82" i="68"/>
  <c r="E87" i="68" s="1"/>
  <c r="F87" i="68" s="1"/>
  <c r="G87" i="68" s="1"/>
  <c r="H87" i="68" s="1"/>
  <c r="H90" i="68" s="1"/>
  <c r="H76" i="68" s="1"/>
  <c r="H60" i="68" s="1"/>
  <c r="H62" i="68" s="1"/>
  <c r="H68" i="68" s="1"/>
  <c r="B68"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D2" authorId="0" shapeId="0" xr:uid="{00000000-0006-0000-0000-000001000000}">
      <text>
        <r>
          <rPr>
            <b/>
            <sz val="8"/>
            <color indexed="81"/>
            <rFont val="Tahoma"/>
            <family val="2"/>
          </rPr>
          <t>RATHORE:</t>
        </r>
        <r>
          <rPr>
            <sz val="8"/>
            <color indexed="81"/>
            <rFont val="Tahoma"/>
            <family val="2"/>
          </rPr>
          <t xml:space="preserve">
</t>
        </r>
      </text>
    </comment>
    <comment ref="E2" authorId="0" shapeId="0" xr:uid="{00000000-0006-0000-0000-000002000000}">
      <text>
        <r>
          <rPr>
            <b/>
            <sz val="8"/>
            <color indexed="81"/>
            <rFont val="Tahoma"/>
            <family val="2"/>
          </rPr>
          <t>RATHORE:</t>
        </r>
        <r>
          <rPr>
            <sz val="8"/>
            <color indexed="81"/>
            <rFont val="Tahoma"/>
            <family val="2"/>
          </rPr>
          <t xml:space="preserve">
</t>
        </r>
      </text>
    </comment>
    <comment ref="D3" authorId="0" shapeId="0" xr:uid="{00000000-0006-0000-0000-00000300000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1" authorId="0" shapeId="0" xr:uid="{00000000-0006-0000-0B00-000001000000}">
      <text>
        <r>
          <rPr>
            <b/>
            <sz val="8"/>
            <color indexed="81"/>
            <rFont val="Tahoma"/>
            <family val="2"/>
          </rPr>
          <t>RATHORE:</t>
        </r>
        <r>
          <rPr>
            <sz val="8"/>
            <color indexed="81"/>
            <rFont val="Tahoma"/>
            <family val="2"/>
          </rPr>
          <t xml:space="preserve">
MAX AMT.RS. 20000</t>
        </r>
      </text>
    </comment>
    <comment ref="C72" authorId="0" shapeId="0" xr:uid="{00000000-0006-0000-0B00-000002000000}">
      <text>
        <r>
          <rPr>
            <b/>
            <sz val="8"/>
            <color indexed="81"/>
            <rFont val="Tahoma"/>
            <family val="2"/>
          </rPr>
          <t>RATHORE:</t>
        </r>
        <r>
          <rPr>
            <sz val="8"/>
            <color indexed="81"/>
            <rFont val="Tahoma"/>
            <family val="2"/>
          </rPr>
          <t xml:space="preserve">
MAX AMT.RS. 20000</t>
        </r>
      </text>
    </comment>
    <comment ref="C73" authorId="0" shapeId="0" xr:uid="{00000000-0006-0000-0B00-000003000000}">
      <text>
        <r>
          <rPr>
            <b/>
            <sz val="8"/>
            <color indexed="81"/>
            <rFont val="Tahoma"/>
            <family val="2"/>
          </rPr>
          <t>RATHORE:</t>
        </r>
        <r>
          <rPr>
            <sz val="8"/>
            <color indexed="81"/>
            <rFont val="Tahoma"/>
            <family val="2"/>
          </rPr>
          <t xml:space="preserve">
</t>
        </r>
      </text>
    </comment>
    <comment ref="C74" authorId="0" shapeId="0" xr:uid="{00000000-0006-0000-0B00-000004000000}">
      <text>
        <r>
          <rPr>
            <b/>
            <sz val="8"/>
            <color indexed="81"/>
            <rFont val="Tahoma"/>
            <family val="2"/>
          </rPr>
          <t>RATHORE:</t>
        </r>
        <r>
          <rPr>
            <sz val="8"/>
            <color indexed="81"/>
            <rFont val="Tahoma"/>
            <family val="2"/>
          </rPr>
          <t xml:space="preserve">
</t>
        </r>
      </text>
    </comment>
    <comment ref="C75" authorId="0" shapeId="0" xr:uid="{00000000-0006-0000-0B00-000005000000}">
      <text>
        <r>
          <rPr>
            <b/>
            <sz val="8"/>
            <color indexed="81"/>
            <rFont val="Tahoma"/>
            <family val="2"/>
          </rPr>
          <t>RATHORE:</t>
        </r>
        <r>
          <rPr>
            <sz val="8"/>
            <color indexed="81"/>
            <rFont val="Tahoma"/>
            <family val="2"/>
          </rPr>
          <t xml:space="preserve">
</t>
        </r>
      </text>
    </comment>
    <comment ref="C92" authorId="0" shapeId="0" xr:uid="{00000000-0006-0000-0B00-000006000000}">
      <text>
        <r>
          <rPr>
            <b/>
            <sz val="8"/>
            <color indexed="81"/>
            <rFont val="Tahoma"/>
            <family val="2"/>
          </rPr>
          <t>RATHORE:</t>
        </r>
        <r>
          <rPr>
            <sz val="8"/>
            <color indexed="81"/>
            <rFont val="Tahoma"/>
            <family val="2"/>
          </rPr>
          <t xml:space="preserve">
</t>
        </r>
      </text>
    </comment>
    <comment ref="C94" authorId="1" shapeId="0" xr:uid="{00000000-0006-0000-0B00-000007000000}">
      <text>
        <r>
          <rPr>
            <b/>
            <sz val="8"/>
            <color indexed="81"/>
            <rFont val="Tahoma"/>
            <family val="2"/>
          </rPr>
          <t>rathore's:</t>
        </r>
        <r>
          <rPr>
            <sz val="8"/>
            <color indexed="81"/>
            <rFont val="Tahoma"/>
            <family val="2"/>
          </rPr>
          <t xml:space="preserve">
</t>
        </r>
      </text>
    </comment>
    <comment ref="B95" authorId="0" shapeId="0" xr:uid="{00000000-0006-0000-0B00-00000800000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3" authorId="0" shapeId="0" xr:uid="{00000000-0006-0000-0C00-000001000000}">
      <text>
        <r>
          <rPr>
            <b/>
            <sz val="8"/>
            <color indexed="81"/>
            <rFont val="Tahoma"/>
            <family val="2"/>
          </rPr>
          <t>RATHORE:</t>
        </r>
        <r>
          <rPr>
            <sz val="8"/>
            <color indexed="81"/>
            <rFont val="Tahoma"/>
            <family val="2"/>
          </rPr>
          <t xml:space="preserve">
MAX AMT.RS. 20000</t>
        </r>
      </text>
    </comment>
    <comment ref="C64" authorId="0" shapeId="0" xr:uid="{00000000-0006-0000-0C00-000002000000}">
      <text>
        <r>
          <rPr>
            <b/>
            <sz val="8"/>
            <color indexed="81"/>
            <rFont val="Tahoma"/>
            <family val="2"/>
          </rPr>
          <t>RATHORE:</t>
        </r>
        <r>
          <rPr>
            <sz val="8"/>
            <color indexed="81"/>
            <rFont val="Tahoma"/>
            <family val="2"/>
          </rPr>
          <t xml:space="preserve">
MAX AMT.RS. 20000</t>
        </r>
      </text>
    </comment>
    <comment ref="C66" authorId="0" shapeId="0" xr:uid="{00000000-0006-0000-0C00-000003000000}">
      <text>
        <r>
          <rPr>
            <b/>
            <sz val="8"/>
            <color indexed="81"/>
            <rFont val="Tahoma"/>
            <family val="2"/>
          </rPr>
          <t>RATHORE:</t>
        </r>
        <r>
          <rPr>
            <sz val="8"/>
            <color indexed="81"/>
            <rFont val="Tahoma"/>
            <family val="2"/>
          </rPr>
          <t xml:space="preserve">
</t>
        </r>
      </text>
    </comment>
    <comment ref="C67" authorId="0" shapeId="0" xr:uid="{00000000-0006-0000-0C00-000004000000}">
      <text>
        <r>
          <rPr>
            <b/>
            <sz val="8"/>
            <color indexed="81"/>
            <rFont val="Tahoma"/>
            <family val="2"/>
          </rPr>
          <t>RATHORE:</t>
        </r>
        <r>
          <rPr>
            <sz val="8"/>
            <color indexed="81"/>
            <rFont val="Tahoma"/>
            <family val="2"/>
          </rPr>
          <t xml:space="preserve">
</t>
        </r>
      </text>
    </comment>
    <comment ref="C68" authorId="0" shapeId="0" xr:uid="{00000000-0006-0000-0C00-000005000000}">
      <text>
        <r>
          <rPr>
            <b/>
            <sz val="8"/>
            <color indexed="81"/>
            <rFont val="Tahoma"/>
            <family val="2"/>
          </rPr>
          <t>RATHORE:</t>
        </r>
        <r>
          <rPr>
            <sz val="8"/>
            <color indexed="81"/>
            <rFont val="Tahoma"/>
            <family val="2"/>
          </rPr>
          <t xml:space="preserve">
</t>
        </r>
      </text>
    </comment>
    <comment ref="C85" authorId="0" shapeId="0" xr:uid="{00000000-0006-0000-0C00-000006000000}">
      <text>
        <r>
          <rPr>
            <b/>
            <sz val="8"/>
            <color indexed="81"/>
            <rFont val="Tahoma"/>
            <family val="2"/>
          </rPr>
          <t>RATHORE:</t>
        </r>
        <r>
          <rPr>
            <sz val="8"/>
            <color indexed="81"/>
            <rFont val="Tahoma"/>
            <family val="2"/>
          </rPr>
          <t xml:space="preserve">
</t>
        </r>
      </text>
    </comment>
    <comment ref="C87" authorId="1" shapeId="0" xr:uid="{00000000-0006-0000-0C00-000007000000}">
      <text>
        <r>
          <rPr>
            <b/>
            <sz val="8"/>
            <color indexed="81"/>
            <rFont val="Tahoma"/>
            <family val="2"/>
          </rPr>
          <t>rathore's:</t>
        </r>
        <r>
          <rPr>
            <sz val="8"/>
            <color indexed="81"/>
            <rFont val="Tahoma"/>
            <family val="2"/>
          </rPr>
          <t xml:space="preserve">
</t>
        </r>
      </text>
    </comment>
    <comment ref="B88" authorId="0" shapeId="0" xr:uid="{00000000-0006-0000-0C00-00000800000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6" authorId="0" shapeId="0" xr:uid="{AB0D04CD-B198-4907-8FF6-8296234F046F}">
      <text>
        <r>
          <rPr>
            <b/>
            <sz val="8"/>
            <color indexed="81"/>
            <rFont val="Tahoma"/>
            <family val="2"/>
          </rPr>
          <t>RATHORE:</t>
        </r>
        <r>
          <rPr>
            <sz val="8"/>
            <color indexed="81"/>
            <rFont val="Tahoma"/>
            <family val="2"/>
          </rPr>
          <t xml:space="preserve">
</t>
        </r>
      </text>
    </comment>
    <comment ref="C39" authorId="0" shapeId="0" xr:uid="{CA0E40B1-552E-4022-9253-4FB03A4DFC7D}">
      <text>
        <r>
          <rPr>
            <b/>
            <sz val="8"/>
            <color indexed="81"/>
            <rFont val="Tahoma"/>
            <family val="2"/>
          </rPr>
          <t>RATHORE:</t>
        </r>
        <r>
          <rPr>
            <sz val="8"/>
            <color indexed="81"/>
            <rFont val="Tahoma"/>
            <family val="2"/>
          </rPr>
          <t xml:space="preserve">
</t>
        </r>
      </text>
    </comment>
    <comment ref="C40" authorId="0" shapeId="0" xr:uid="{11F6CB8A-B87B-42D2-9A85-CE880F54C82C}">
      <text>
        <r>
          <rPr>
            <b/>
            <sz val="8"/>
            <color indexed="81"/>
            <rFont val="Tahoma"/>
            <family val="2"/>
          </rPr>
          <t>RATHORE:</t>
        </r>
        <r>
          <rPr>
            <sz val="8"/>
            <color indexed="81"/>
            <rFont val="Tahoma"/>
            <family val="2"/>
          </rPr>
          <t xml:space="preserve">
</t>
        </r>
      </text>
    </comment>
    <comment ref="C43" authorId="0" shapeId="0" xr:uid="{7E476482-94FF-410D-9BF5-5C3B3FCAC350}">
      <text>
        <r>
          <rPr>
            <b/>
            <sz val="8"/>
            <color indexed="81"/>
            <rFont val="Tahoma"/>
            <family val="2"/>
          </rPr>
          <t>RATHORE:</t>
        </r>
        <r>
          <rPr>
            <sz val="8"/>
            <color indexed="81"/>
            <rFont val="Tahoma"/>
            <family val="2"/>
          </rPr>
          <t xml:space="preserve">
</t>
        </r>
      </text>
    </comment>
    <comment ref="C53" authorId="0" shapeId="0" xr:uid="{6E76D1E9-C5EF-47B2-AB92-75628FD67F99}">
      <text>
        <r>
          <rPr>
            <b/>
            <sz val="8"/>
            <color indexed="81"/>
            <rFont val="Tahoma"/>
            <family val="2"/>
          </rPr>
          <t>RATHORE:</t>
        </r>
        <r>
          <rPr>
            <sz val="8"/>
            <color indexed="81"/>
            <rFont val="Tahoma"/>
            <family val="2"/>
          </rPr>
          <t xml:space="preserve">
</t>
        </r>
      </text>
    </comment>
    <comment ref="C54" authorId="1" shapeId="0" xr:uid="{9A8D0A29-FF8E-4DA3-A8CA-667F1EAEE96A}">
      <text>
        <r>
          <rPr>
            <b/>
            <sz val="8"/>
            <color indexed="81"/>
            <rFont val="Tahoma"/>
            <family val="2"/>
          </rPr>
          <t>rathore's:</t>
        </r>
        <r>
          <rPr>
            <sz val="8"/>
            <color indexed="81"/>
            <rFont val="Tahoma"/>
            <family val="2"/>
          </rPr>
          <t xml:space="preserve">
</t>
        </r>
      </text>
    </comment>
    <comment ref="C55" authorId="1" shapeId="0" xr:uid="{EAE171A9-71C6-416D-9F1A-840F123ED0D3}">
      <text>
        <r>
          <rPr>
            <b/>
            <sz val="8"/>
            <color indexed="81"/>
            <rFont val="Tahoma"/>
            <family val="2"/>
          </rPr>
          <t>rathore's:</t>
        </r>
        <r>
          <rPr>
            <sz val="8"/>
            <color indexed="81"/>
            <rFont val="Tahoma"/>
            <family val="2"/>
          </rPr>
          <t xml:space="preserve">
</t>
        </r>
      </text>
    </comment>
    <comment ref="B56" authorId="0" shapeId="0" xr:uid="{78BA3648-3674-4310-A600-8C96EAAF6A7B}">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1200-000001000000}">
      <text>
        <r>
          <rPr>
            <b/>
            <sz val="8"/>
            <color indexed="81"/>
            <rFont val="Tahoma"/>
            <family val="2"/>
          </rPr>
          <t>RATHORE:</t>
        </r>
        <r>
          <rPr>
            <sz val="8"/>
            <color indexed="81"/>
            <rFont val="Tahoma"/>
            <family val="2"/>
          </rPr>
          <t xml:space="preserve">
</t>
        </r>
      </text>
    </comment>
    <comment ref="C53" authorId="0" shapeId="0" xr:uid="{00000000-0006-0000-1200-000002000000}">
      <text>
        <r>
          <rPr>
            <b/>
            <sz val="8"/>
            <color indexed="81"/>
            <rFont val="Tahoma"/>
            <family val="2"/>
          </rPr>
          <t>RATHORE:</t>
        </r>
        <r>
          <rPr>
            <sz val="8"/>
            <color indexed="81"/>
            <rFont val="Tahoma"/>
            <family val="2"/>
          </rPr>
          <t xml:space="preserve">
</t>
        </r>
      </text>
    </comment>
    <comment ref="C57" authorId="0" shapeId="0" xr:uid="{00000000-0006-0000-1200-000003000000}">
      <text>
        <r>
          <rPr>
            <b/>
            <sz val="8"/>
            <color indexed="81"/>
            <rFont val="Tahoma"/>
            <family val="2"/>
          </rPr>
          <t>RATHORE:</t>
        </r>
        <r>
          <rPr>
            <sz val="8"/>
            <color indexed="81"/>
            <rFont val="Tahoma"/>
            <family val="2"/>
          </rPr>
          <t xml:space="preserve">
</t>
        </r>
      </text>
    </comment>
    <comment ref="C58" authorId="0" shapeId="0" xr:uid="{00000000-0006-0000-1200-000004000000}">
      <text>
        <r>
          <rPr>
            <b/>
            <sz val="8"/>
            <color indexed="81"/>
            <rFont val="Tahoma"/>
            <family val="2"/>
          </rPr>
          <t>RATHORE:</t>
        </r>
        <r>
          <rPr>
            <sz val="8"/>
            <color indexed="81"/>
            <rFont val="Tahoma"/>
            <family val="2"/>
          </rPr>
          <t xml:space="preserve">
</t>
        </r>
      </text>
    </comment>
    <comment ref="C61" authorId="0" shapeId="0" xr:uid="{00000000-0006-0000-1200-000005000000}">
      <text>
        <r>
          <rPr>
            <b/>
            <sz val="8"/>
            <color indexed="81"/>
            <rFont val="Tahoma"/>
            <family val="2"/>
          </rPr>
          <t>RATHORE:</t>
        </r>
        <r>
          <rPr>
            <sz val="8"/>
            <color indexed="81"/>
            <rFont val="Tahoma"/>
            <family val="2"/>
          </rPr>
          <t xml:space="preserve">
</t>
        </r>
      </text>
    </comment>
    <comment ref="C71" authorId="0" shapeId="0" xr:uid="{00000000-0006-0000-1200-000006000000}">
      <text>
        <r>
          <rPr>
            <b/>
            <sz val="8"/>
            <color indexed="81"/>
            <rFont val="Tahoma"/>
            <family val="2"/>
          </rPr>
          <t>RATHORE:</t>
        </r>
        <r>
          <rPr>
            <sz val="8"/>
            <color indexed="81"/>
            <rFont val="Tahoma"/>
            <family val="2"/>
          </rPr>
          <t xml:space="preserve">
</t>
        </r>
      </text>
    </comment>
    <comment ref="C73" authorId="0" shapeId="0" xr:uid="{00000000-0006-0000-1200-000007000000}">
      <text>
        <r>
          <rPr>
            <b/>
            <sz val="8"/>
            <color indexed="81"/>
            <rFont val="Tahoma"/>
            <family val="2"/>
          </rPr>
          <t>RATHORE:</t>
        </r>
        <r>
          <rPr>
            <sz val="8"/>
            <color indexed="81"/>
            <rFont val="Tahoma"/>
            <family val="2"/>
          </rPr>
          <t xml:space="preserve">
</t>
        </r>
      </text>
    </comment>
    <comment ref="C74" authorId="1" shapeId="0" xr:uid="{00000000-0006-0000-1200-000008000000}">
      <text>
        <r>
          <rPr>
            <b/>
            <sz val="8"/>
            <color indexed="81"/>
            <rFont val="Tahoma"/>
            <family val="2"/>
          </rPr>
          <t>rathore's:</t>
        </r>
        <r>
          <rPr>
            <sz val="8"/>
            <color indexed="81"/>
            <rFont val="Tahoma"/>
            <family val="2"/>
          </rPr>
          <t xml:space="preserve">
</t>
        </r>
      </text>
    </comment>
    <comment ref="B75" authorId="0" shapeId="0" xr:uid="{00000000-0006-0000-1200-00000900000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00000000-0006-0000-1500-000001000000}">
      <text>
        <r>
          <rPr>
            <b/>
            <sz val="8"/>
            <color indexed="81"/>
            <rFont val="Tahoma"/>
            <family val="2"/>
          </rPr>
          <t>RATHORE:</t>
        </r>
        <r>
          <rPr>
            <sz val="8"/>
            <color indexed="81"/>
            <rFont val="Tahoma"/>
            <family val="2"/>
          </rPr>
          <t xml:space="preserve">
</t>
        </r>
      </text>
    </comment>
    <comment ref="C47" authorId="0" shapeId="0" xr:uid="{00000000-0006-0000-1500-000002000000}">
      <text>
        <r>
          <rPr>
            <b/>
            <sz val="8"/>
            <color indexed="81"/>
            <rFont val="Tahoma"/>
            <family val="2"/>
          </rPr>
          <t>RATHORE:</t>
        </r>
        <r>
          <rPr>
            <sz val="8"/>
            <color indexed="81"/>
            <rFont val="Tahoma"/>
            <family val="2"/>
          </rPr>
          <t xml:space="preserve">
</t>
        </r>
      </text>
    </comment>
    <comment ref="C53" authorId="0" shapeId="0" xr:uid="{00000000-0006-0000-1500-000003000000}">
      <text>
        <r>
          <rPr>
            <b/>
            <sz val="8"/>
            <color indexed="81"/>
            <rFont val="Tahoma"/>
            <family val="2"/>
          </rPr>
          <t>RATHORE:</t>
        </r>
        <r>
          <rPr>
            <sz val="8"/>
            <color indexed="81"/>
            <rFont val="Tahoma"/>
            <family val="2"/>
          </rPr>
          <t xml:space="preserve">
</t>
        </r>
      </text>
    </comment>
    <comment ref="C64" authorId="0" shapeId="0" xr:uid="{00000000-0006-0000-1500-000004000000}">
      <text>
        <r>
          <rPr>
            <b/>
            <sz val="8"/>
            <color indexed="81"/>
            <rFont val="Tahoma"/>
            <family val="2"/>
          </rPr>
          <t>RATHORE:</t>
        </r>
        <r>
          <rPr>
            <sz val="8"/>
            <color indexed="81"/>
            <rFont val="Tahoma"/>
            <family val="2"/>
          </rPr>
          <t xml:space="preserve">
</t>
        </r>
      </text>
    </comment>
    <comment ref="C65" authorId="0" shapeId="0" xr:uid="{FECB67B6-7481-43FD-9724-F85DDCBBF5F9}">
      <text>
        <r>
          <rPr>
            <b/>
            <sz val="8"/>
            <color indexed="81"/>
            <rFont val="Tahoma"/>
            <family val="2"/>
          </rPr>
          <t>RATHORE:</t>
        </r>
        <r>
          <rPr>
            <sz val="8"/>
            <color indexed="81"/>
            <rFont val="Tahoma"/>
            <family val="2"/>
          </rPr>
          <t xml:space="preserve">
</t>
        </r>
      </text>
    </comment>
    <comment ref="C67" authorId="1" shapeId="0" xr:uid="{00000000-0006-0000-1500-000006000000}">
      <text>
        <r>
          <rPr>
            <b/>
            <sz val="8"/>
            <color indexed="81"/>
            <rFont val="Tahoma"/>
            <family val="2"/>
          </rPr>
          <t>rathore's:</t>
        </r>
        <r>
          <rPr>
            <sz val="8"/>
            <color indexed="81"/>
            <rFont val="Tahoma"/>
            <family val="2"/>
          </rPr>
          <t xml:space="preserve">
</t>
        </r>
      </text>
    </comment>
    <comment ref="B68" authorId="0" shapeId="0" xr:uid="{00000000-0006-0000-1500-00000700000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700-00000100000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28" authorId="0" shapeId="0" xr:uid="{00000000-0006-0000-1800-00000100000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900-00000100000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A00-00000100000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B00-000001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0300-000001000000}">
      <text>
        <r>
          <rPr>
            <b/>
            <sz val="8"/>
            <color indexed="81"/>
            <rFont val="Tahoma"/>
            <family val="2"/>
          </rPr>
          <t>RATHORE:</t>
        </r>
        <r>
          <rPr>
            <sz val="8"/>
            <color indexed="81"/>
            <rFont val="Tahoma"/>
            <family val="2"/>
          </rPr>
          <t xml:space="preserve">
MAX AMT.RS. 20000</t>
        </r>
      </text>
    </comment>
    <comment ref="C54" authorId="0" shapeId="0" xr:uid="{00000000-0006-0000-0300-000002000000}">
      <text>
        <r>
          <rPr>
            <b/>
            <sz val="8"/>
            <color indexed="81"/>
            <rFont val="Tahoma"/>
            <family val="2"/>
          </rPr>
          <t>RATHORE:</t>
        </r>
        <r>
          <rPr>
            <sz val="8"/>
            <color indexed="81"/>
            <rFont val="Tahoma"/>
            <family val="2"/>
          </rPr>
          <t xml:space="preserve">
MAX AMT.RS. 20000</t>
        </r>
      </text>
    </comment>
    <comment ref="C55" authorId="0" shapeId="0" xr:uid="{00000000-0006-0000-0300-000003000000}">
      <text>
        <r>
          <rPr>
            <b/>
            <sz val="8"/>
            <color indexed="81"/>
            <rFont val="Tahoma"/>
            <family val="2"/>
          </rPr>
          <t>RATHORE:</t>
        </r>
        <r>
          <rPr>
            <sz val="8"/>
            <color indexed="81"/>
            <rFont val="Tahoma"/>
            <family val="2"/>
          </rPr>
          <t xml:space="preserve">
</t>
        </r>
      </text>
    </comment>
    <comment ref="C56" authorId="0" shapeId="0" xr:uid="{00000000-0006-0000-0300-000004000000}">
      <text>
        <r>
          <rPr>
            <b/>
            <sz val="8"/>
            <color indexed="81"/>
            <rFont val="Tahoma"/>
            <family val="2"/>
          </rPr>
          <t>RATHORE:</t>
        </r>
        <r>
          <rPr>
            <sz val="8"/>
            <color indexed="81"/>
            <rFont val="Tahoma"/>
            <family val="2"/>
          </rPr>
          <t xml:space="preserve">
</t>
        </r>
      </text>
    </comment>
    <comment ref="C57" authorId="0" shapeId="0" xr:uid="{00000000-0006-0000-0300-000005000000}">
      <text>
        <r>
          <rPr>
            <b/>
            <sz val="8"/>
            <color indexed="81"/>
            <rFont val="Tahoma"/>
            <family val="2"/>
          </rPr>
          <t>RATHORE:</t>
        </r>
        <r>
          <rPr>
            <sz val="8"/>
            <color indexed="81"/>
            <rFont val="Tahoma"/>
            <family val="2"/>
          </rPr>
          <t xml:space="preserve">
</t>
        </r>
      </text>
    </comment>
    <comment ref="C72" authorId="0" shapeId="0" xr:uid="{00000000-0006-0000-0300-000006000000}">
      <text>
        <r>
          <rPr>
            <b/>
            <sz val="8"/>
            <color indexed="81"/>
            <rFont val="Tahoma"/>
            <family val="2"/>
          </rPr>
          <t>RATHORE:</t>
        </r>
        <r>
          <rPr>
            <sz val="8"/>
            <color indexed="81"/>
            <rFont val="Tahoma"/>
            <family val="2"/>
          </rPr>
          <t xml:space="preserve">
</t>
        </r>
      </text>
    </comment>
    <comment ref="C76" authorId="1" shapeId="0" xr:uid="{00000000-0006-0000-0300-000007000000}">
      <text>
        <r>
          <rPr>
            <b/>
            <sz val="8"/>
            <color indexed="81"/>
            <rFont val="Tahoma"/>
            <family val="2"/>
          </rPr>
          <t>rathore's:</t>
        </r>
        <r>
          <rPr>
            <sz val="8"/>
            <color indexed="81"/>
            <rFont val="Tahoma"/>
            <family val="2"/>
          </rPr>
          <t xml:space="preserve">
</t>
        </r>
      </text>
    </comment>
    <comment ref="B77" authorId="0" shapeId="0" xr:uid="{00000000-0006-0000-0300-00000800000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2" authorId="0" shapeId="0" xr:uid="{00000000-0006-0000-1C00-000001000000}">
      <text>
        <r>
          <rPr>
            <b/>
            <sz val="8"/>
            <color indexed="81"/>
            <rFont val="Tahoma"/>
            <family val="2"/>
          </rPr>
          <t>RATHORE:</t>
        </r>
        <r>
          <rPr>
            <sz val="8"/>
            <color indexed="81"/>
            <rFont val="Tahoma"/>
            <family val="2"/>
          </rPr>
          <t xml:space="preserve">
</t>
        </r>
      </text>
    </comment>
    <comment ref="C33" authorId="0" shapeId="0" xr:uid="{00000000-0006-0000-1C00-000002000000}">
      <text>
        <r>
          <rPr>
            <b/>
            <sz val="8"/>
            <color indexed="81"/>
            <rFont val="Tahoma"/>
            <family val="2"/>
          </rPr>
          <t>RATHORE:</t>
        </r>
        <r>
          <rPr>
            <sz val="8"/>
            <color indexed="81"/>
            <rFont val="Tahoma"/>
            <family val="2"/>
          </rPr>
          <t xml:space="preserve">
</t>
        </r>
      </text>
    </comment>
    <comment ref="C34" authorId="0" shapeId="0" xr:uid="{00000000-0006-0000-1C00-000003000000}">
      <text>
        <r>
          <rPr>
            <b/>
            <sz val="8"/>
            <color indexed="81"/>
            <rFont val="Tahoma"/>
            <family val="2"/>
          </rPr>
          <t>RATHORE:</t>
        </r>
        <r>
          <rPr>
            <sz val="8"/>
            <color indexed="81"/>
            <rFont val="Tahoma"/>
            <family val="2"/>
          </rPr>
          <t xml:space="preserve">
</t>
        </r>
      </text>
    </comment>
    <comment ref="C43" authorId="0" shapeId="0" xr:uid="{00000000-0006-0000-1C00-000004000000}">
      <text>
        <r>
          <rPr>
            <b/>
            <sz val="8"/>
            <color indexed="81"/>
            <rFont val="Tahoma"/>
            <family val="2"/>
          </rPr>
          <t>RATHORE:</t>
        </r>
        <r>
          <rPr>
            <sz val="8"/>
            <color indexed="81"/>
            <rFont val="Tahoma"/>
            <family val="2"/>
          </rPr>
          <t xml:space="preserve">
</t>
        </r>
      </text>
    </comment>
    <comment ref="C45" authorId="1" shapeId="0" xr:uid="{00000000-0006-0000-1C00-000005000000}">
      <text>
        <r>
          <rPr>
            <b/>
            <sz val="8"/>
            <color indexed="81"/>
            <rFont val="Tahoma"/>
            <family val="2"/>
          </rPr>
          <t>rathore's:</t>
        </r>
        <r>
          <rPr>
            <sz val="8"/>
            <color indexed="81"/>
            <rFont val="Tahoma"/>
            <family val="2"/>
          </rPr>
          <t xml:space="preserve">
</t>
        </r>
      </text>
    </comment>
    <comment ref="C46" authorId="1" shapeId="0" xr:uid="{00000000-0006-0000-1C00-000006000000}">
      <text>
        <r>
          <rPr>
            <b/>
            <sz val="8"/>
            <color indexed="81"/>
            <rFont val="Tahoma"/>
            <family val="2"/>
          </rPr>
          <t>rathore's:</t>
        </r>
        <r>
          <rPr>
            <sz val="8"/>
            <color indexed="81"/>
            <rFont val="Tahoma"/>
            <family val="2"/>
          </rPr>
          <t xml:space="preserve">
</t>
        </r>
      </text>
    </comment>
    <comment ref="B47" authorId="0" shapeId="0" xr:uid="{00000000-0006-0000-1C00-00000700000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7" authorId="0" shapeId="0" xr:uid="{00000000-0006-0000-1D00-000001000000}">
      <text>
        <r>
          <rPr>
            <b/>
            <sz val="8"/>
            <color indexed="81"/>
            <rFont val="Tahoma"/>
            <family val="2"/>
          </rPr>
          <t>RATHORE:</t>
        </r>
        <r>
          <rPr>
            <sz val="8"/>
            <color indexed="81"/>
            <rFont val="Tahoma"/>
            <family val="2"/>
          </rPr>
          <t xml:space="preserve">
</t>
        </r>
      </text>
    </comment>
    <comment ref="C41" authorId="0" shapeId="0" xr:uid="{00000000-0006-0000-1D00-000002000000}">
      <text>
        <r>
          <rPr>
            <b/>
            <sz val="8"/>
            <color indexed="81"/>
            <rFont val="Tahoma"/>
            <family val="2"/>
          </rPr>
          <t>RATHORE:</t>
        </r>
        <r>
          <rPr>
            <sz val="8"/>
            <color indexed="81"/>
            <rFont val="Tahoma"/>
            <family val="2"/>
          </rPr>
          <t xml:space="preserve">
</t>
        </r>
      </text>
    </comment>
    <comment ref="C52" authorId="0" shapeId="0" xr:uid="{00000000-0006-0000-1D00-000003000000}">
      <text>
        <r>
          <rPr>
            <b/>
            <sz val="8"/>
            <color indexed="81"/>
            <rFont val="Tahoma"/>
            <family val="2"/>
          </rPr>
          <t>RATHORE:</t>
        </r>
        <r>
          <rPr>
            <sz val="8"/>
            <color indexed="81"/>
            <rFont val="Tahoma"/>
            <family val="2"/>
          </rPr>
          <t xml:space="preserve">
</t>
        </r>
      </text>
    </comment>
    <comment ref="C53" authorId="0" shapeId="0" xr:uid="{00000000-0006-0000-1D00-000004000000}">
      <text>
        <r>
          <rPr>
            <b/>
            <sz val="8"/>
            <color indexed="81"/>
            <rFont val="Tahoma"/>
            <family val="2"/>
          </rPr>
          <t>RATHORE:</t>
        </r>
        <r>
          <rPr>
            <sz val="8"/>
            <color indexed="81"/>
            <rFont val="Tahoma"/>
            <family val="2"/>
          </rPr>
          <t xml:space="preserve">
</t>
        </r>
      </text>
    </comment>
    <comment ref="C54" authorId="1" shapeId="0" xr:uid="{00000000-0006-0000-1D00-000005000000}">
      <text>
        <r>
          <rPr>
            <b/>
            <sz val="8"/>
            <color indexed="81"/>
            <rFont val="Tahoma"/>
            <family val="2"/>
          </rPr>
          <t>rathore's:</t>
        </r>
        <r>
          <rPr>
            <sz val="8"/>
            <color indexed="81"/>
            <rFont val="Tahoma"/>
            <family val="2"/>
          </rPr>
          <t xml:space="preserve">
</t>
        </r>
      </text>
    </comment>
    <comment ref="B55" authorId="0" shapeId="0" xr:uid="{00000000-0006-0000-1D00-000006000000}">
      <text>
        <r>
          <rPr>
            <b/>
            <sz val="8"/>
            <color indexed="81"/>
            <rFont val="Tahoma"/>
            <family val="2"/>
          </rPr>
          <t>RATHORE:</t>
        </r>
        <r>
          <rPr>
            <sz val="8"/>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RATHORE</author>
    <author>rathore</author>
  </authors>
  <commentList>
    <comment ref="B36" authorId="0" shapeId="0" xr:uid="{00000000-0006-0000-2000-000001000000}">
      <text>
        <r>
          <rPr>
            <b/>
            <sz val="8"/>
            <color indexed="81"/>
            <rFont val="Tahoma"/>
            <family val="2"/>
          </rPr>
          <t>RATHORE:</t>
        </r>
        <r>
          <rPr>
            <sz val="8"/>
            <color indexed="81"/>
            <rFont val="Tahoma"/>
            <family val="2"/>
          </rPr>
          <t xml:space="preserve">
</t>
        </r>
      </text>
    </comment>
    <comment ref="B37" authorId="0" shapeId="0" xr:uid="{00000000-0006-0000-2000-000002000000}">
      <text>
        <r>
          <rPr>
            <b/>
            <sz val="8"/>
            <color indexed="81"/>
            <rFont val="Tahoma"/>
            <family val="2"/>
          </rPr>
          <t>RATHORE:</t>
        </r>
        <r>
          <rPr>
            <sz val="8"/>
            <color indexed="81"/>
            <rFont val="Tahoma"/>
            <family val="2"/>
          </rPr>
          <t xml:space="preserve">
</t>
        </r>
      </text>
    </comment>
    <comment ref="B38" authorId="1" shapeId="0" xr:uid="{00000000-0006-0000-2000-000003000000}">
      <text>
        <r>
          <rPr>
            <b/>
            <sz val="8"/>
            <color indexed="81"/>
            <rFont val="Tahoma"/>
            <family val="2"/>
          </rPr>
          <t>rathore:</t>
        </r>
        <r>
          <rPr>
            <sz val="8"/>
            <color indexed="81"/>
            <rFont val="Tahoma"/>
            <family val="2"/>
          </rPr>
          <t xml:space="preserve">
</t>
        </r>
      </text>
    </comment>
    <comment ref="B58" authorId="0" shapeId="0" xr:uid="{00000000-0006-0000-2000-00000400000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400-000001000000}">
      <text>
        <r>
          <rPr>
            <b/>
            <sz val="8"/>
            <color indexed="81"/>
            <rFont val="Tahoma"/>
            <family val="2"/>
          </rPr>
          <t>RATHORE:</t>
        </r>
        <r>
          <rPr>
            <sz val="8"/>
            <color indexed="81"/>
            <rFont val="Tahoma"/>
            <family val="2"/>
          </rPr>
          <t xml:space="preserve">
MAX AMT.RS. 20000</t>
        </r>
      </text>
    </comment>
    <comment ref="C53" authorId="0" shapeId="0" xr:uid="{00000000-0006-0000-0400-000002000000}">
      <text>
        <r>
          <rPr>
            <b/>
            <sz val="8"/>
            <color indexed="81"/>
            <rFont val="Tahoma"/>
            <family val="2"/>
          </rPr>
          <t>RATHORE:</t>
        </r>
        <r>
          <rPr>
            <sz val="8"/>
            <color indexed="81"/>
            <rFont val="Tahoma"/>
            <family val="2"/>
          </rPr>
          <t xml:space="preserve">
MAX AMT.RS. 20000</t>
        </r>
      </text>
    </comment>
    <comment ref="C54" authorId="0" shapeId="0" xr:uid="{00000000-0006-0000-0400-000003000000}">
      <text>
        <r>
          <rPr>
            <b/>
            <sz val="8"/>
            <color indexed="81"/>
            <rFont val="Tahoma"/>
            <family val="2"/>
          </rPr>
          <t>RATHORE:</t>
        </r>
        <r>
          <rPr>
            <sz val="8"/>
            <color indexed="81"/>
            <rFont val="Tahoma"/>
            <family val="2"/>
          </rPr>
          <t xml:space="preserve">
</t>
        </r>
      </text>
    </comment>
    <comment ref="C55" authorId="0" shapeId="0" xr:uid="{00000000-0006-0000-0400-000004000000}">
      <text>
        <r>
          <rPr>
            <b/>
            <sz val="8"/>
            <color indexed="81"/>
            <rFont val="Tahoma"/>
            <family val="2"/>
          </rPr>
          <t>RATHORE:</t>
        </r>
        <r>
          <rPr>
            <sz val="8"/>
            <color indexed="81"/>
            <rFont val="Tahoma"/>
            <family val="2"/>
          </rPr>
          <t xml:space="preserve">
</t>
        </r>
      </text>
    </comment>
    <comment ref="C56" authorId="0" shapeId="0" xr:uid="{00000000-0006-0000-0400-000005000000}">
      <text>
        <r>
          <rPr>
            <b/>
            <sz val="8"/>
            <color indexed="81"/>
            <rFont val="Tahoma"/>
            <family val="2"/>
          </rPr>
          <t>RATHORE:</t>
        </r>
        <r>
          <rPr>
            <sz val="8"/>
            <color indexed="81"/>
            <rFont val="Tahoma"/>
            <family val="2"/>
          </rPr>
          <t xml:space="preserve">
</t>
        </r>
      </text>
    </comment>
    <comment ref="C71" authorId="0" shapeId="0" xr:uid="{00000000-0006-0000-0400-000006000000}">
      <text>
        <r>
          <rPr>
            <b/>
            <sz val="8"/>
            <color indexed="81"/>
            <rFont val="Tahoma"/>
            <family val="2"/>
          </rPr>
          <t>RATHORE:</t>
        </r>
        <r>
          <rPr>
            <sz val="8"/>
            <color indexed="81"/>
            <rFont val="Tahoma"/>
            <family val="2"/>
          </rPr>
          <t xml:space="preserve">
</t>
        </r>
      </text>
    </comment>
    <comment ref="C75" authorId="1" shapeId="0" xr:uid="{00000000-0006-0000-0400-000007000000}">
      <text>
        <r>
          <rPr>
            <b/>
            <sz val="8"/>
            <color indexed="81"/>
            <rFont val="Tahoma"/>
            <family val="2"/>
          </rPr>
          <t>rathore's:</t>
        </r>
        <r>
          <rPr>
            <sz val="8"/>
            <color indexed="81"/>
            <rFont val="Tahoma"/>
            <family val="2"/>
          </rPr>
          <t xml:space="preserve">
</t>
        </r>
      </text>
    </comment>
    <comment ref="B76" authorId="0" shapeId="0" xr:uid="{00000000-0006-0000-0400-00000800000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500-000001000000}">
      <text>
        <r>
          <rPr>
            <b/>
            <sz val="8"/>
            <color indexed="81"/>
            <rFont val="Tahoma"/>
            <family val="2"/>
          </rPr>
          <t>RATHORE:</t>
        </r>
        <r>
          <rPr>
            <sz val="8"/>
            <color indexed="81"/>
            <rFont val="Tahoma"/>
            <family val="2"/>
          </rPr>
          <t xml:space="preserve">
MAX AMT.RS. 20000</t>
        </r>
      </text>
    </comment>
    <comment ref="C53" authorId="0" shapeId="0" xr:uid="{00000000-0006-0000-0500-000002000000}">
      <text>
        <r>
          <rPr>
            <b/>
            <sz val="8"/>
            <color indexed="81"/>
            <rFont val="Tahoma"/>
            <family val="2"/>
          </rPr>
          <t>RATHORE:</t>
        </r>
        <r>
          <rPr>
            <sz val="8"/>
            <color indexed="81"/>
            <rFont val="Tahoma"/>
            <family val="2"/>
          </rPr>
          <t xml:space="preserve">
MAX AMT.RS. 20000</t>
        </r>
      </text>
    </comment>
    <comment ref="C54" authorId="0" shapeId="0" xr:uid="{00000000-0006-0000-0500-000003000000}">
      <text>
        <r>
          <rPr>
            <b/>
            <sz val="8"/>
            <color indexed="81"/>
            <rFont val="Tahoma"/>
            <family val="2"/>
          </rPr>
          <t>RATHORE:</t>
        </r>
        <r>
          <rPr>
            <sz val="8"/>
            <color indexed="81"/>
            <rFont val="Tahoma"/>
            <family val="2"/>
          </rPr>
          <t xml:space="preserve">
</t>
        </r>
      </text>
    </comment>
    <comment ref="C55" authorId="0" shapeId="0" xr:uid="{00000000-0006-0000-0500-000004000000}">
      <text>
        <r>
          <rPr>
            <b/>
            <sz val="8"/>
            <color indexed="81"/>
            <rFont val="Tahoma"/>
            <family val="2"/>
          </rPr>
          <t>RATHORE:</t>
        </r>
        <r>
          <rPr>
            <sz val="8"/>
            <color indexed="81"/>
            <rFont val="Tahoma"/>
            <family val="2"/>
          </rPr>
          <t xml:space="preserve">
</t>
        </r>
      </text>
    </comment>
    <comment ref="C56" authorId="0" shapeId="0" xr:uid="{00000000-0006-0000-0500-000005000000}">
      <text>
        <r>
          <rPr>
            <b/>
            <sz val="8"/>
            <color indexed="81"/>
            <rFont val="Tahoma"/>
            <family val="2"/>
          </rPr>
          <t>RATHORE:</t>
        </r>
        <r>
          <rPr>
            <sz val="8"/>
            <color indexed="81"/>
            <rFont val="Tahoma"/>
            <family val="2"/>
          </rPr>
          <t xml:space="preserve">
</t>
        </r>
      </text>
    </comment>
    <comment ref="C71" authorId="0" shapeId="0" xr:uid="{00000000-0006-0000-0500-000006000000}">
      <text>
        <r>
          <rPr>
            <b/>
            <sz val="8"/>
            <color indexed="81"/>
            <rFont val="Tahoma"/>
            <family val="2"/>
          </rPr>
          <t>RATHORE:</t>
        </r>
        <r>
          <rPr>
            <sz val="8"/>
            <color indexed="81"/>
            <rFont val="Tahoma"/>
            <family val="2"/>
          </rPr>
          <t xml:space="preserve">
</t>
        </r>
      </text>
    </comment>
    <comment ref="C74" authorId="1" shapeId="0" xr:uid="{00000000-0006-0000-0500-000007000000}">
      <text>
        <r>
          <rPr>
            <b/>
            <sz val="8"/>
            <color indexed="81"/>
            <rFont val="Tahoma"/>
            <family val="2"/>
          </rPr>
          <t>rathore's:</t>
        </r>
        <r>
          <rPr>
            <sz val="8"/>
            <color indexed="81"/>
            <rFont val="Tahoma"/>
            <family val="2"/>
          </rPr>
          <t xml:space="preserve">
</t>
        </r>
      </text>
    </comment>
    <comment ref="B75" authorId="0" shapeId="0" xr:uid="{00000000-0006-0000-0500-00000800000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1" authorId="0" shapeId="0" xr:uid="{00000000-0006-0000-0600-000001000000}">
      <text>
        <r>
          <rPr>
            <b/>
            <sz val="8"/>
            <color indexed="81"/>
            <rFont val="Tahoma"/>
            <family val="2"/>
          </rPr>
          <t>RATHORE:</t>
        </r>
        <r>
          <rPr>
            <sz val="8"/>
            <color indexed="81"/>
            <rFont val="Tahoma"/>
            <family val="2"/>
          </rPr>
          <t xml:space="preserve">
MAX AMT.RS. 20000</t>
        </r>
      </text>
    </comment>
    <comment ref="C63" authorId="0" shapeId="0" xr:uid="{00000000-0006-0000-0600-000002000000}">
      <text>
        <r>
          <rPr>
            <b/>
            <sz val="8"/>
            <color indexed="81"/>
            <rFont val="Tahoma"/>
            <family val="2"/>
          </rPr>
          <t>RATHORE:</t>
        </r>
        <r>
          <rPr>
            <sz val="8"/>
            <color indexed="81"/>
            <rFont val="Tahoma"/>
            <family val="2"/>
          </rPr>
          <t xml:space="preserve">
MAX AMT.RS. 20000</t>
        </r>
      </text>
    </comment>
    <comment ref="C64" authorId="0" shapeId="0" xr:uid="{00000000-0006-0000-0600-000003000000}">
      <text>
        <r>
          <rPr>
            <b/>
            <sz val="8"/>
            <color indexed="81"/>
            <rFont val="Tahoma"/>
            <family val="2"/>
          </rPr>
          <t>RATHORE:</t>
        </r>
        <r>
          <rPr>
            <sz val="8"/>
            <color indexed="81"/>
            <rFont val="Tahoma"/>
            <family val="2"/>
          </rPr>
          <t xml:space="preserve">
</t>
        </r>
      </text>
    </comment>
    <comment ref="C65" authorId="0" shapeId="0" xr:uid="{00000000-0006-0000-0600-000004000000}">
      <text>
        <r>
          <rPr>
            <b/>
            <sz val="8"/>
            <color indexed="81"/>
            <rFont val="Tahoma"/>
            <family val="2"/>
          </rPr>
          <t>RATHORE:</t>
        </r>
        <r>
          <rPr>
            <sz val="8"/>
            <color indexed="81"/>
            <rFont val="Tahoma"/>
            <family val="2"/>
          </rPr>
          <t xml:space="preserve">
</t>
        </r>
      </text>
    </comment>
    <comment ref="C66" authorId="0" shapeId="0" xr:uid="{00000000-0006-0000-0600-000005000000}">
      <text>
        <r>
          <rPr>
            <b/>
            <sz val="8"/>
            <color indexed="81"/>
            <rFont val="Tahoma"/>
            <family val="2"/>
          </rPr>
          <t>RATHORE:</t>
        </r>
        <r>
          <rPr>
            <sz val="8"/>
            <color indexed="81"/>
            <rFont val="Tahoma"/>
            <family val="2"/>
          </rPr>
          <t xml:space="preserve">
</t>
        </r>
      </text>
    </comment>
    <comment ref="C82" authorId="0" shapeId="0" xr:uid="{00000000-0006-0000-0600-000006000000}">
      <text>
        <r>
          <rPr>
            <b/>
            <sz val="8"/>
            <color indexed="81"/>
            <rFont val="Tahoma"/>
            <family val="2"/>
          </rPr>
          <t>RATHORE:</t>
        </r>
        <r>
          <rPr>
            <sz val="8"/>
            <color indexed="81"/>
            <rFont val="Tahoma"/>
            <family val="2"/>
          </rPr>
          <t xml:space="preserve">
</t>
        </r>
      </text>
    </comment>
    <comment ref="C86" authorId="1" shapeId="0" xr:uid="{00000000-0006-0000-0600-000007000000}">
      <text>
        <r>
          <rPr>
            <b/>
            <sz val="8"/>
            <color indexed="81"/>
            <rFont val="Tahoma"/>
            <family val="2"/>
          </rPr>
          <t>rathore's:</t>
        </r>
        <r>
          <rPr>
            <sz val="8"/>
            <color indexed="81"/>
            <rFont val="Tahoma"/>
            <family val="2"/>
          </rPr>
          <t xml:space="preserve">
</t>
        </r>
      </text>
    </comment>
    <comment ref="B87" authorId="0" shapeId="0" xr:uid="{00000000-0006-0000-0600-00000800000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700-000001000000}">
      <text>
        <r>
          <rPr>
            <b/>
            <sz val="8"/>
            <color indexed="81"/>
            <rFont val="Tahoma"/>
            <family val="2"/>
          </rPr>
          <t>RATHORE:</t>
        </r>
        <r>
          <rPr>
            <sz val="8"/>
            <color indexed="81"/>
            <rFont val="Tahoma"/>
            <family val="2"/>
          </rPr>
          <t xml:space="preserve">
MAX AMT.RS. 20000</t>
        </r>
      </text>
    </comment>
    <comment ref="C58" authorId="0" shapeId="0" xr:uid="{00000000-0006-0000-0700-000002000000}">
      <text>
        <r>
          <rPr>
            <b/>
            <sz val="8"/>
            <color indexed="81"/>
            <rFont val="Tahoma"/>
            <family val="2"/>
          </rPr>
          <t>RATHORE:</t>
        </r>
        <r>
          <rPr>
            <sz val="8"/>
            <color indexed="81"/>
            <rFont val="Tahoma"/>
            <family val="2"/>
          </rPr>
          <t xml:space="preserve">
MAX AMT.RS. 20000</t>
        </r>
      </text>
    </comment>
    <comment ref="C59" authorId="0" shapeId="0" xr:uid="{00000000-0006-0000-0700-000003000000}">
      <text>
        <r>
          <rPr>
            <b/>
            <sz val="8"/>
            <color indexed="81"/>
            <rFont val="Tahoma"/>
            <family val="2"/>
          </rPr>
          <t>RATHORE:</t>
        </r>
        <r>
          <rPr>
            <sz val="8"/>
            <color indexed="81"/>
            <rFont val="Tahoma"/>
            <family val="2"/>
          </rPr>
          <t xml:space="preserve">
</t>
        </r>
      </text>
    </comment>
    <comment ref="C60" authorId="0" shapeId="0" xr:uid="{00000000-0006-0000-0700-000004000000}">
      <text>
        <r>
          <rPr>
            <b/>
            <sz val="8"/>
            <color indexed="81"/>
            <rFont val="Tahoma"/>
            <family val="2"/>
          </rPr>
          <t>RATHORE:</t>
        </r>
        <r>
          <rPr>
            <sz val="8"/>
            <color indexed="81"/>
            <rFont val="Tahoma"/>
            <family val="2"/>
          </rPr>
          <t xml:space="preserve">
</t>
        </r>
      </text>
    </comment>
    <comment ref="C61" authorId="0" shapeId="0" xr:uid="{00000000-0006-0000-0700-000005000000}">
      <text>
        <r>
          <rPr>
            <b/>
            <sz val="8"/>
            <color indexed="81"/>
            <rFont val="Tahoma"/>
            <family val="2"/>
          </rPr>
          <t>RATHORE:</t>
        </r>
        <r>
          <rPr>
            <sz val="8"/>
            <color indexed="81"/>
            <rFont val="Tahoma"/>
            <family val="2"/>
          </rPr>
          <t xml:space="preserve">
</t>
        </r>
      </text>
    </comment>
    <comment ref="C77" authorId="0" shapeId="0" xr:uid="{00000000-0006-0000-0700-000006000000}">
      <text>
        <r>
          <rPr>
            <b/>
            <sz val="8"/>
            <color indexed="81"/>
            <rFont val="Tahoma"/>
            <family val="2"/>
          </rPr>
          <t>RATHORE:</t>
        </r>
        <r>
          <rPr>
            <sz val="8"/>
            <color indexed="81"/>
            <rFont val="Tahoma"/>
            <family val="2"/>
          </rPr>
          <t xml:space="preserve">
</t>
        </r>
      </text>
    </comment>
    <comment ref="C81" authorId="1" shapeId="0" xr:uid="{00000000-0006-0000-0700-000007000000}">
      <text>
        <r>
          <rPr>
            <b/>
            <sz val="8"/>
            <color indexed="81"/>
            <rFont val="Tahoma"/>
            <family val="2"/>
          </rPr>
          <t>rathore's:</t>
        </r>
        <r>
          <rPr>
            <sz val="8"/>
            <color indexed="81"/>
            <rFont val="Tahoma"/>
            <family val="2"/>
          </rPr>
          <t xml:space="preserve">
</t>
        </r>
      </text>
    </comment>
    <comment ref="B82" authorId="0" shapeId="0" xr:uid="{00000000-0006-0000-0700-00000800000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800-000001000000}">
      <text>
        <r>
          <rPr>
            <b/>
            <sz val="8"/>
            <color indexed="81"/>
            <rFont val="Tahoma"/>
            <family val="2"/>
          </rPr>
          <t>RATHORE:</t>
        </r>
        <r>
          <rPr>
            <sz val="8"/>
            <color indexed="81"/>
            <rFont val="Tahoma"/>
            <family val="2"/>
          </rPr>
          <t xml:space="preserve">
MAX AMT.RS. 20000</t>
        </r>
      </text>
    </comment>
    <comment ref="C58" authorId="0" shapeId="0" xr:uid="{00000000-0006-0000-0800-000002000000}">
      <text>
        <r>
          <rPr>
            <b/>
            <sz val="8"/>
            <color indexed="81"/>
            <rFont val="Tahoma"/>
            <family val="2"/>
          </rPr>
          <t>RATHORE:</t>
        </r>
        <r>
          <rPr>
            <sz val="8"/>
            <color indexed="81"/>
            <rFont val="Tahoma"/>
            <family val="2"/>
          </rPr>
          <t xml:space="preserve">
MAX AMT.RS. 20000</t>
        </r>
      </text>
    </comment>
    <comment ref="C59" authorId="0" shapeId="0" xr:uid="{00000000-0006-0000-0800-000003000000}">
      <text>
        <r>
          <rPr>
            <b/>
            <sz val="8"/>
            <color indexed="81"/>
            <rFont val="Tahoma"/>
            <family val="2"/>
          </rPr>
          <t>RATHORE:</t>
        </r>
        <r>
          <rPr>
            <sz val="8"/>
            <color indexed="81"/>
            <rFont val="Tahoma"/>
            <family val="2"/>
          </rPr>
          <t xml:space="preserve">
</t>
        </r>
      </text>
    </comment>
    <comment ref="C60" authorId="0" shapeId="0" xr:uid="{00000000-0006-0000-0800-000004000000}">
      <text>
        <r>
          <rPr>
            <b/>
            <sz val="8"/>
            <color indexed="81"/>
            <rFont val="Tahoma"/>
            <family val="2"/>
          </rPr>
          <t>RATHORE:</t>
        </r>
        <r>
          <rPr>
            <sz val="8"/>
            <color indexed="81"/>
            <rFont val="Tahoma"/>
            <family val="2"/>
          </rPr>
          <t xml:space="preserve">
</t>
        </r>
      </text>
    </comment>
    <comment ref="C61" authorId="0" shapeId="0" xr:uid="{00000000-0006-0000-0800-000005000000}">
      <text>
        <r>
          <rPr>
            <b/>
            <sz val="8"/>
            <color indexed="81"/>
            <rFont val="Tahoma"/>
            <family val="2"/>
          </rPr>
          <t>RATHORE:</t>
        </r>
        <r>
          <rPr>
            <sz val="8"/>
            <color indexed="81"/>
            <rFont val="Tahoma"/>
            <family val="2"/>
          </rPr>
          <t xml:space="preserve">
</t>
        </r>
      </text>
    </comment>
    <comment ref="C76" authorId="0" shapeId="0" xr:uid="{00000000-0006-0000-0800-000006000000}">
      <text>
        <r>
          <rPr>
            <b/>
            <sz val="8"/>
            <color indexed="81"/>
            <rFont val="Tahoma"/>
            <family val="2"/>
          </rPr>
          <t>RATHORE:</t>
        </r>
        <r>
          <rPr>
            <sz val="8"/>
            <color indexed="81"/>
            <rFont val="Tahoma"/>
            <family val="2"/>
          </rPr>
          <t xml:space="preserve">
</t>
        </r>
      </text>
    </comment>
    <comment ref="C79" authorId="1" shapeId="0" xr:uid="{00000000-0006-0000-0800-000007000000}">
      <text>
        <r>
          <rPr>
            <b/>
            <sz val="8"/>
            <color indexed="81"/>
            <rFont val="Tahoma"/>
            <family val="2"/>
          </rPr>
          <t>rathore's:</t>
        </r>
        <r>
          <rPr>
            <sz val="8"/>
            <color indexed="81"/>
            <rFont val="Tahoma"/>
            <family val="2"/>
          </rPr>
          <t xml:space="preserve">
</t>
        </r>
      </text>
    </comment>
    <comment ref="B80" authorId="0" shapeId="0" xr:uid="{00000000-0006-0000-0800-00000800000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8" authorId="0" shapeId="0" xr:uid="{00000000-0006-0000-0900-000001000000}">
      <text>
        <r>
          <rPr>
            <b/>
            <sz val="8"/>
            <color indexed="81"/>
            <rFont val="Tahoma"/>
            <family val="2"/>
          </rPr>
          <t>RATHORE:</t>
        </r>
        <r>
          <rPr>
            <sz val="8"/>
            <color indexed="81"/>
            <rFont val="Tahoma"/>
            <family val="2"/>
          </rPr>
          <t xml:space="preserve">
MAX AMT.RS. 20000</t>
        </r>
      </text>
    </comment>
    <comment ref="C70" authorId="0" shapeId="0" xr:uid="{00000000-0006-0000-0900-000002000000}">
      <text>
        <r>
          <rPr>
            <b/>
            <sz val="8"/>
            <color indexed="81"/>
            <rFont val="Tahoma"/>
            <family val="2"/>
          </rPr>
          <t>RATHORE:</t>
        </r>
        <r>
          <rPr>
            <sz val="8"/>
            <color indexed="81"/>
            <rFont val="Tahoma"/>
            <family val="2"/>
          </rPr>
          <t xml:space="preserve">
MAX AMT.RS. 20000</t>
        </r>
      </text>
    </comment>
    <comment ref="C71" authorId="0" shapeId="0" xr:uid="{00000000-0006-0000-0900-000003000000}">
      <text>
        <r>
          <rPr>
            <b/>
            <sz val="8"/>
            <color indexed="81"/>
            <rFont val="Tahoma"/>
            <family val="2"/>
          </rPr>
          <t>RATHORE:</t>
        </r>
        <r>
          <rPr>
            <sz val="8"/>
            <color indexed="81"/>
            <rFont val="Tahoma"/>
            <family val="2"/>
          </rPr>
          <t xml:space="preserve">
</t>
        </r>
      </text>
    </comment>
    <comment ref="C72" authorId="0" shapeId="0" xr:uid="{00000000-0006-0000-0900-000004000000}">
      <text>
        <r>
          <rPr>
            <b/>
            <sz val="8"/>
            <color indexed="81"/>
            <rFont val="Tahoma"/>
            <family val="2"/>
          </rPr>
          <t>RATHORE:</t>
        </r>
        <r>
          <rPr>
            <sz val="8"/>
            <color indexed="81"/>
            <rFont val="Tahoma"/>
            <family val="2"/>
          </rPr>
          <t xml:space="preserve">
</t>
        </r>
      </text>
    </comment>
    <comment ref="C73" authorId="0" shapeId="0" xr:uid="{00000000-0006-0000-0900-000005000000}">
      <text>
        <r>
          <rPr>
            <b/>
            <sz val="8"/>
            <color indexed="81"/>
            <rFont val="Tahoma"/>
            <family val="2"/>
          </rPr>
          <t>RATHORE:</t>
        </r>
        <r>
          <rPr>
            <sz val="8"/>
            <color indexed="81"/>
            <rFont val="Tahoma"/>
            <family val="2"/>
          </rPr>
          <t xml:space="preserve">
</t>
        </r>
      </text>
    </comment>
    <comment ref="C88" authorId="0" shapeId="0" xr:uid="{00000000-0006-0000-0900-000006000000}">
      <text>
        <r>
          <rPr>
            <b/>
            <sz val="8"/>
            <color indexed="81"/>
            <rFont val="Tahoma"/>
            <family val="2"/>
          </rPr>
          <t>RATHORE:</t>
        </r>
        <r>
          <rPr>
            <sz val="8"/>
            <color indexed="81"/>
            <rFont val="Tahoma"/>
            <family val="2"/>
          </rPr>
          <t xml:space="preserve">
</t>
        </r>
      </text>
    </comment>
    <comment ref="C91" authorId="1" shapeId="0" xr:uid="{00000000-0006-0000-0900-000007000000}">
      <text>
        <r>
          <rPr>
            <b/>
            <sz val="8"/>
            <color indexed="81"/>
            <rFont val="Tahoma"/>
            <family val="2"/>
          </rPr>
          <t>rathore's:</t>
        </r>
        <r>
          <rPr>
            <sz val="8"/>
            <color indexed="81"/>
            <rFont val="Tahoma"/>
            <family val="2"/>
          </rPr>
          <t xml:space="preserve">
</t>
        </r>
      </text>
    </comment>
    <comment ref="B92" authorId="0" shapeId="0" xr:uid="{00000000-0006-0000-0900-00000800000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2" authorId="0" shapeId="0" xr:uid="{00000000-0006-0000-0A00-000001000000}">
      <text>
        <r>
          <rPr>
            <b/>
            <sz val="8"/>
            <color indexed="81"/>
            <rFont val="Tahoma"/>
            <family val="2"/>
          </rPr>
          <t>RATHORE:</t>
        </r>
        <r>
          <rPr>
            <sz val="8"/>
            <color indexed="81"/>
            <rFont val="Tahoma"/>
            <family val="2"/>
          </rPr>
          <t xml:space="preserve">
MAX AMT.RS. 20000</t>
        </r>
      </text>
    </comment>
    <comment ref="C74" authorId="0" shapeId="0" xr:uid="{00000000-0006-0000-0A00-000002000000}">
      <text>
        <r>
          <rPr>
            <b/>
            <sz val="8"/>
            <color indexed="81"/>
            <rFont val="Tahoma"/>
            <family val="2"/>
          </rPr>
          <t>RATHORE:</t>
        </r>
        <r>
          <rPr>
            <sz val="8"/>
            <color indexed="81"/>
            <rFont val="Tahoma"/>
            <family val="2"/>
          </rPr>
          <t xml:space="preserve">
MAX AMT.RS. 20000</t>
        </r>
      </text>
    </comment>
    <comment ref="C75" authorId="0" shapeId="0" xr:uid="{00000000-0006-0000-0A00-000003000000}">
      <text>
        <r>
          <rPr>
            <b/>
            <sz val="8"/>
            <color indexed="81"/>
            <rFont val="Tahoma"/>
            <family val="2"/>
          </rPr>
          <t>RATHORE:</t>
        </r>
        <r>
          <rPr>
            <sz val="8"/>
            <color indexed="81"/>
            <rFont val="Tahoma"/>
            <family val="2"/>
          </rPr>
          <t xml:space="preserve">
</t>
        </r>
      </text>
    </comment>
    <comment ref="C76" authorId="0" shapeId="0" xr:uid="{00000000-0006-0000-0A00-000004000000}">
      <text>
        <r>
          <rPr>
            <b/>
            <sz val="8"/>
            <color indexed="81"/>
            <rFont val="Tahoma"/>
            <family val="2"/>
          </rPr>
          <t>RATHORE:</t>
        </r>
        <r>
          <rPr>
            <sz val="8"/>
            <color indexed="81"/>
            <rFont val="Tahoma"/>
            <family val="2"/>
          </rPr>
          <t xml:space="preserve">
</t>
        </r>
      </text>
    </comment>
    <comment ref="C77" authorId="0" shapeId="0" xr:uid="{00000000-0006-0000-0A00-000005000000}">
      <text>
        <r>
          <rPr>
            <b/>
            <sz val="8"/>
            <color indexed="81"/>
            <rFont val="Tahoma"/>
            <family val="2"/>
          </rPr>
          <t>RATHORE:</t>
        </r>
        <r>
          <rPr>
            <sz val="8"/>
            <color indexed="81"/>
            <rFont val="Tahoma"/>
            <family val="2"/>
          </rPr>
          <t xml:space="preserve">
</t>
        </r>
      </text>
    </comment>
    <comment ref="C94" authorId="0" shapeId="0" xr:uid="{00000000-0006-0000-0A00-000006000000}">
      <text>
        <r>
          <rPr>
            <b/>
            <sz val="8"/>
            <color indexed="81"/>
            <rFont val="Tahoma"/>
            <family val="2"/>
          </rPr>
          <t>RATHORE:</t>
        </r>
        <r>
          <rPr>
            <sz val="8"/>
            <color indexed="81"/>
            <rFont val="Tahoma"/>
            <family val="2"/>
          </rPr>
          <t xml:space="preserve">
</t>
        </r>
      </text>
    </comment>
    <comment ref="C98" authorId="1" shapeId="0" xr:uid="{00000000-0006-0000-0A00-000007000000}">
      <text>
        <r>
          <rPr>
            <b/>
            <sz val="8"/>
            <color indexed="81"/>
            <rFont val="Tahoma"/>
            <family val="2"/>
          </rPr>
          <t>rathore's:</t>
        </r>
        <r>
          <rPr>
            <sz val="8"/>
            <color indexed="81"/>
            <rFont val="Tahoma"/>
            <family val="2"/>
          </rPr>
          <t xml:space="preserve">
</t>
        </r>
      </text>
    </comment>
    <comment ref="B99" authorId="0" shapeId="0" xr:uid="{00000000-0006-0000-0A00-000008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<sst xmlns="http://schemas.openxmlformats.org/spreadsheetml/2006/main" count="3883" uniqueCount="1829">
  <si>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</si>
  <si>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</si>
  <si>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</si>
  <si>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</si>
  <si>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</si>
  <si>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</si>
  <si>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</si>
  <si>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</si>
  <si>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</si>
  <si>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</si>
  <si>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</si>
  <si>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</si>
  <si>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</si>
  <si>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</si>
  <si>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</si>
  <si>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</si>
  <si>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</si>
  <si>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</si>
  <si>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</si>
  <si>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</si>
  <si>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</si>
  <si>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</si>
  <si>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</si>
  <si>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</si>
  <si>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</si>
  <si>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</si>
  <si>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</si>
  <si>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</si>
  <si>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</si>
  <si>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</si>
  <si>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</si>
  <si>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</si>
  <si>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</si>
  <si>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</si>
  <si>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</si>
  <si>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</si>
  <si>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</si>
  <si>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</si>
  <si>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</si>
  <si>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</si>
  <si>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</si>
  <si>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</si>
  <si>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</si>
  <si>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</si>
  <si>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</si>
  <si>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</si>
  <si>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</si>
  <si>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</si>
  <si>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</si>
  <si>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</si>
  <si>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</si>
  <si>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</si>
  <si>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</si>
  <si>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</si>
  <si>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</si>
  <si>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</si>
  <si>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</si>
  <si>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</si>
  <si>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</si>
  <si>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</si>
  <si>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</si>
  <si>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</si>
  <si>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</si>
  <si>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</si>
  <si>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</si>
  <si>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</si>
  <si>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</si>
  <si>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</si>
  <si>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</si>
  <si>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</si>
  <si>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</si>
  <si>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</si>
  <si>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</si>
  <si>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</si>
  <si>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</si>
  <si>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</si>
  <si>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</si>
  <si>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</si>
  <si>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</si>
  <si>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</si>
  <si>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</si>
  <si>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</si>
  <si>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</si>
  <si>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</si>
  <si>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</si>
  <si>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</si>
  <si>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</si>
  <si>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</si>
  <si>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</si>
  <si>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</si>
  <si>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</si>
  <si>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</si>
  <si>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</si>
  <si>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</si>
  <si>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</si>
  <si>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</si>
  <si>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</si>
  <si>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</si>
  <si>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</si>
  <si>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</si>
  <si>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</si>
  <si>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</si>
  <si>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</si>
  <si>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</si>
  <si>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</si>
  <si>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</si>
  <si>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</si>
  <si>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</si>
  <si>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</si>
  <si>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</si>
  <si>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</si>
  <si>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</si>
  <si>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</si>
  <si>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</si>
  <si>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</si>
  <si>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</si>
  <si>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</si>
  <si>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</si>
  <si>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</si>
  <si>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</si>
  <si>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</si>
  <si>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</si>
  <si>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</si>
  <si>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</si>
  <si>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</si>
  <si>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</si>
  <si>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</si>
  <si>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</si>
  <si>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</si>
  <si>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</si>
  <si>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</si>
  <si>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</si>
  <si>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</si>
  <si>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</si>
  <si>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</si>
  <si>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</si>
  <si>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</si>
  <si>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</si>
  <si>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</si>
  <si>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</si>
  <si>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</si>
  <si>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</si>
  <si>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</si>
  <si>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</si>
  <si>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</si>
  <si>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</si>
  <si>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</si>
  <si>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</si>
  <si>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</si>
  <si>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</si>
  <si>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</si>
  <si>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</si>
  <si>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</si>
  <si>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</si>
  <si>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</si>
  <si>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</si>
  <si>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</si>
  <si>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</si>
  <si>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</si>
  <si>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</si>
  <si>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</si>
  <si>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</si>
  <si>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</si>
  <si>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</si>
  <si>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</si>
  <si>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</si>
  <si>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</si>
  <si>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</si>
  <si>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</si>
  <si>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</si>
  <si>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</si>
  <si>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</si>
  <si>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</si>
  <si>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</si>
  <si>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</si>
  <si>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</si>
  <si>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</si>
  <si>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</si>
  <si>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</si>
  <si>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</si>
  <si>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</si>
  <si>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</si>
  <si>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</si>
  <si>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</si>
  <si>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</si>
  <si>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</si>
  <si>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</si>
  <si>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</si>
  <si>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</si>
  <si>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</si>
  <si>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</si>
  <si>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</si>
  <si>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</si>
  <si>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</si>
  <si>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</si>
  <si>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</si>
  <si>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</si>
  <si>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</si>
  <si>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</si>
  <si>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</si>
  <si>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</si>
  <si>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</si>
  <si>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</si>
  <si>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</si>
  <si>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</si>
  <si>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</si>
  <si>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</si>
  <si>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</si>
  <si>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</si>
  <si>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</si>
  <si>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</si>
  <si>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</si>
  <si>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</si>
  <si>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</si>
  <si>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</si>
  <si>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</si>
  <si>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</si>
  <si>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</si>
  <si>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</si>
  <si>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</si>
  <si>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</si>
  <si>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</si>
  <si>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</si>
  <si>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</si>
  <si>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</si>
  <si>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</si>
  <si>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</si>
  <si>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</si>
  <si>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</si>
  <si>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</si>
  <si>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</si>
  <si>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</si>
  <si>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</si>
  <si>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</si>
  <si>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</si>
  <si>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</si>
  <si>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</si>
  <si>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</si>
  <si>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</si>
  <si>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</si>
  <si>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</si>
  <si>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</si>
  <si>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</si>
  <si>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</si>
  <si>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</si>
  <si>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</si>
  <si>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</si>
  <si>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</si>
  <si>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</si>
  <si>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</si>
  <si>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</si>
  <si>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</si>
  <si>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</si>
  <si>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</si>
  <si>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</si>
  <si>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</si>
  <si>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</si>
  <si>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</si>
  <si>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</si>
  <si>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</si>
  <si>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</si>
  <si>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</si>
  <si>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</si>
  <si>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</si>
  <si>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</si>
  <si>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</si>
  <si>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</si>
  <si>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</si>
  <si>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</si>
  <si>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</si>
  <si>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</si>
  <si>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</si>
  <si>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</si>
  <si>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</si>
  <si>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</si>
  <si>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</si>
  <si>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</si>
  <si>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</si>
  <si>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</si>
  <si>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</si>
  <si>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</si>
  <si>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</si>
  <si>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</si>
  <si>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</si>
  <si>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</si>
  <si>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</si>
  <si>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</si>
  <si>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</si>
  <si>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</si>
  <si>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</si>
  <si>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</si>
  <si>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</si>
  <si>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</si>
  <si>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</si>
  <si>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</si>
  <si>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</si>
  <si>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</si>
  <si>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</si>
  <si>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</si>
  <si>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</si>
  <si>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</si>
  <si>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</si>
  <si>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</si>
  <si>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</si>
  <si>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</si>
  <si>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</si>
  <si>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</si>
  <si>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</si>
  <si>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</si>
  <si>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</si>
  <si>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</si>
  <si>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</si>
  <si>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</si>
  <si>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</si>
  <si>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</si>
  <si>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</si>
  <si>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</si>
  <si>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</si>
  <si>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</si>
  <si>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</si>
  <si>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</si>
  <si>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</si>
  <si>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</si>
  <si>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</si>
  <si>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</si>
  <si>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</si>
  <si>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</si>
  <si>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</si>
  <si>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</si>
  <si>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</si>
  <si>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</si>
  <si>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</si>
  <si>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</si>
  <si>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</si>
  <si>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</si>
  <si>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</si>
  <si>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</si>
  <si>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</si>
  <si>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</si>
  <si>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</si>
  <si>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</si>
  <si>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</si>
  <si>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</si>
  <si>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</si>
  <si>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</si>
  <si>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</si>
  <si>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</si>
  <si>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</si>
  <si>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</si>
  <si>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</si>
  <si>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</si>
  <si>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</si>
  <si>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</si>
  <si>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</si>
  <si>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</si>
  <si>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</si>
  <si>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</si>
  <si>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</si>
  <si>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</si>
  <si>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</si>
  <si>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</si>
  <si>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</si>
  <si>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</si>
  <si>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</si>
  <si>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</si>
  <si>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</si>
  <si>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</si>
  <si>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</si>
  <si>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</si>
  <si>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</si>
  <si>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</si>
  <si>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</si>
  <si>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</si>
  <si>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</si>
  <si>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</si>
  <si>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</si>
  <si>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</si>
  <si>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</si>
  <si>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</si>
  <si>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</si>
  <si>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</si>
  <si>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</si>
  <si>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</si>
  <si>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</si>
  <si>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</si>
  <si>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</si>
  <si>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</si>
  <si>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</si>
  <si>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</si>
  <si>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</si>
  <si>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</si>
  <si>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</si>
  <si>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</si>
  <si>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</si>
  <si>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</si>
  <si>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</si>
  <si>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</si>
  <si>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</si>
  <si>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</si>
  <si>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</si>
  <si>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</si>
  <si>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</si>
  <si>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</si>
  <si>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</si>
  <si>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</si>
  <si>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</si>
  <si>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</si>
  <si>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</si>
  <si>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</si>
  <si>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</si>
  <si>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</si>
  <si>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</si>
  <si>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</si>
  <si>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</si>
  <si>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</si>
  <si>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</si>
  <si>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</si>
  <si>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</si>
  <si>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</si>
  <si>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</si>
  <si>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</si>
  <si>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</si>
  <si>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</si>
  <si>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</si>
  <si>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</si>
  <si>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</si>
  <si>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</si>
  <si>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</si>
  <si>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</si>
  <si>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</si>
  <si>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</si>
  <si>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</si>
  <si>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</si>
  <si>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</si>
  <si>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</si>
  <si>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</si>
  <si>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</si>
  <si>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</si>
  <si>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</si>
  <si>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</si>
  <si>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</si>
  <si>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</si>
  <si>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</si>
  <si>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</si>
  <si>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</si>
  <si>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</si>
  <si>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</si>
  <si>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</si>
  <si>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</si>
  <si>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</si>
  <si>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</si>
  <si>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</si>
  <si>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</si>
  <si>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</si>
  <si>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</si>
  <si>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</si>
  <si>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</si>
  <si>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</si>
  <si>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</si>
  <si>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</si>
  <si>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</si>
  <si>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</si>
  <si>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</si>
  <si>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</si>
  <si>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</si>
  <si>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</si>
  <si>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</si>
  <si>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</si>
  <si>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</si>
  <si>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</si>
  <si>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</si>
  <si>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</si>
  <si>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</si>
  <si>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</si>
  <si>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</si>
  <si>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</si>
  <si>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</si>
  <si>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</si>
  <si>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</si>
  <si>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</si>
  <si>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</si>
  <si>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</si>
  <si>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</si>
  <si>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</si>
  <si>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</si>
  <si>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</si>
  <si>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</si>
  <si>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</si>
  <si>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</si>
  <si>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</si>
  <si>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</si>
  <si>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</si>
  <si>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</si>
  <si>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</si>
  <si>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</si>
  <si>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</si>
  <si>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</si>
  <si>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</si>
  <si>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</si>
  <si>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</si>
  <si>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</si>
  <si>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</si>
  <si>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</si>
  <si>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</si>
  <si>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</si>
  <si>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</si>
  <si>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</si>
  <si>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</si>
  <si>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</si>
  <si>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</si>
  <si>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</si>
  <si>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</si>
  <si>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</si>
  <si>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</si>
  <si>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</si>
  <si>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</si>
  <si>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</si>
  <si>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</si>
  <si>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</si>
  <si>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</si>
  <si>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</si>
  <si>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</si>
  <si>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</si>
  <si>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</si>
  <si>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</si>
  <si>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</si>
  <si>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</si>
  <si>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</si>
  <si>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</si>
  <si>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</si>
  <si>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</si>
  <si>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</si>
  <si>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</si>
  <si>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</si>
  <si>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</si>
  <si>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</si>
  <si>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</si>
  <si>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</si>
  <si>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</si>
  <si>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</si>
  <si>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</si>
  <si>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</si>
  <si>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</si>
  <si>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</si>
  <si>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</si>
  <si>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</si>
  <si>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</si>
  <si>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</si>
  <si>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</si>
  <si>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</si>
  <si>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</si>
  <si>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</si>
  <si>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</si>
  <si>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</si>
  <si>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</si>
  <si>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</si>
  <si>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</si>
  <si>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</si>
  <si>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</si>
  <si>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</si>
  <si>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</si>
  <si>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</si>
  <si>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</si>
  <si>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</si>
  <si>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</si>
  <si>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</si>
  <si>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</si>
  <si>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</si>
  <si>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</si>
  <si>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</si>
  <si>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</si>
  <si>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</si>
  <si>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</si>
  <si>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</si>
  <si>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</si>
  <si>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</si>
  <si>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</si>
  <si>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</si>
  <si>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</si>
  <si>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</si>
  <si>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</si>
  <si>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</si>
  <si>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</si>
  <si>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</si>
  <si>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</si>
  <si>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</si>
  <si>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</si>
  <si>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</si>
  <si>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</si>
  <si>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</si>
  <si>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</si>
  <si>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</si>
  <si>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</si>
  <si>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</si>
  <si>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</si>
  <si>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</si>
  <si>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</si>
  <si>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</si>
  <si>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</si>
  <si>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</si>
  <si>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</si>
  <si>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</si>
  <si>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</si>
  <si>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</si>
  <si>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</si>
  <si>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</si>
  <si>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</si>
  <si>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</si>
  <si>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</si>
  <si>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</si>
  <si>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</si>
  <si>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</si>
  <si>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</si>
  <si>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</si>
  <si>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</si>
  <si>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</si>
  <si>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</si>
  <si>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</si>
  <si>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</si>
  <si>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</si>
  <si>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</si>
  <si>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</si>
  <si>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</si>
  <si>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</si>
  <si>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</si>
  <si>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</si>
  <si>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</si>
  <si>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</si>
  <si>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</si>
  <si>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</si>
  <si>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</si>
  <si>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</si>
  <si>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</si>
  <si>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</si>
  <si>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</si>
  <si>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</si>
  <si>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</si>
  <si>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</si>
  <si>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</si>
  <si>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</si>
  <si>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</si>
  <si>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</si>
  <si>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</si>
  <si>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</si>
  <si>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</si>
  <si>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</si>
  <si>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</si>
  <si>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</si>
  <si>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</si>
  <si>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</si>
  <si>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</si>
  <si>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</si>
  <si>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</si>
  <si>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</si>
  <si>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</si>
  <si>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</si>
  <si>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</si>
  <si>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</si>
  <si>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</si>
  <si>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</si>
  <si>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</si>
  <si>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</si>
  <si>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</si>
  <si>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</si>
  <si>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</si>
  <si>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</si>
  <si>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</si>
  <si>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</si>
  <si>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</si>
  <si>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</si>
  <si>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</si>
  <si>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</si>
  <si>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</si>
  <si>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</si>
  <si>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</si>
  <si>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</si>
  <si>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</si>
  <si>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</si>
  <si>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</si>
  <si>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</si>
  <si>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</si>
  <si>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</si>
  <si>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</si>
  <si>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</si>
  <si>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</si>
  <si>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</si>
  <si>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</si>
  <si>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</si>
  <si>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</si>
  <si>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</si>
  <si>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</si>
  <si>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</si>
  <si>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</si>
  <si>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</si>
  <si>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</si>
  <si>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</si>
  <si>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</si>
  <si>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</si>
  <si>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</si>
  <si>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</si>
  <si>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</si>
  <si>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</si>
  <si>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</si>
  <si>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</si>
  <si>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</si>
  <si>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</si>
  <si>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</si>
  <si>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</si>
  <si>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</si>
  <si>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</si>
  <si>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</si>
  <si>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</si>
  <si>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</si>
  <si>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</si>
  <si>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</si>
  <si>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</si>
  <si>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</si>
  <si>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</si>
  <si>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</si>
  <si>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</si>
  <si>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</si>
  <si>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</si>
  <si>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</si>
  <si>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</si>
  <si>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</si>
  <si>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</si>
  <si>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</si>
  <si>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</si>
  <si>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</si>
  <si>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</si>
  <si>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</si>
  <si>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</si>
  <si>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</si>
  <si>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</si>
  <si>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</si>
  <si>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</si>
  <si>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</si>
  <si>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</si>
  <si>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</si>
  <si>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</si>
  <si>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</si>
  <si>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</si>
  <si>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</si>
  <si>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</si>
  <si>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</si>
  <si>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</si>
  <si>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</si>
  <si>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</si>
  <si>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</si>
  <si>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</si>
  <si>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</si>
  <si>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</si>
  <si>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</si>
  <si>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</si>
  <si>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</si>
  <si>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</si>
  <si>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</si>
  <si>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</si>
  <si>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</si>
  <si>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</si>
  <si>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</si>
  <si>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</si>
  <si>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</si>
  <si>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</si>
  <si>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</si>
  <si>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</si>
  <si>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</si>
  <si>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</si>
  <si>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</si>
  <si>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</si>
  <si>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</si>
  <si>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</si>
  <si>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</si>
  <si>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</si>
  <si>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</si>
  <si>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</si>
  <si>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</si>
  <si>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</si>
  <si>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</si>
  <si>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</si>
  <si>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</si>
  <si>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</si>
  <si>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</si>
  <si>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</si>
  <si>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</si>
  <si>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</si>
  <si>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</si>
  <si>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</si>
  <si>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</si>
  <si>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</si>
  <si>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</si>
  <si>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</si>
  <si>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</si>
  <si>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</si>
  <si>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</si>
  <si>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</si>
  <si>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</si>
  <si>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</si>
  <si>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</si>
  <si>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</si>
  <si>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</si>
  <si>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</si>
  <si>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</si>
  <si>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</si>
  <si>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</si>
  <si>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</si>
  <si>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</si>
  <si>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</si>
  <si>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</si>
  <si>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</si>
  <si>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</si>
  <si>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</si>
  <si>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</si>
  <si>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</si>
  <si>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</si>
  <si>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</si>
  <si>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</si>
  <si>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</si>
  <si>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</si>
  <si>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</si>
  <si>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</si>
  <si>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</si>
  <si>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</si>
  <si>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</si>
  <si>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</si>
  <si>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</si>
  <si>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</si>
  <si>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</si>
  <si>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</si>
  <si>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</si>
  <si>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</si>
  <si>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</si>
  <si>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</si>
  <si>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</si>
  <si>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</si>
  <si>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</si>
  <si>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</si>
  <si>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</si>
  <si>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</si>
  <si>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</si>
  <si>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</si>
  <si>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</si>
  <si>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</si>
  <si>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</si>
  <si>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</si>
  <si>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</si>
  <si>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</si>
  <si>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</si>
  <si>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</si>
  <si>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</si>
  <si>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</si>
  <si>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</si>
  <si>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</si>
  <si>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</si>
  <si>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</si>
  <si>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</si>
  <si>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</si>
  <si>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</si>
  <si>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</si>
  <si>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</si>
  <si>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</si>
  <si>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</si>
  <si>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</si>
  <si>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</si>
  <si>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</si>
  <si>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</si>
  <si>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</si>
  <si>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</si>
  <si>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</si>
  <si>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</si>
  <si>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</si>
  <si>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</si>
  <si>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</si>
  <si>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</si>
  <si>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</si>
  <si>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</si>
  <si>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</si>
  <si>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</si>
  <si>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</si>
  <si>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</si>
  <si>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</si>
  <si>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</si>
  <si>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</si>
  <si>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</si>
  <si>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</si>
  <si>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</si>
  <si>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</si>
  <si>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</si>
  <si>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</si>
  <si>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</si>
  <si>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</si>
  <si>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</si>
  <si>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</si>
  <si>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</si>
  <si>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</si>
  <si>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</si>
  <si>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</si>
  <si>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</si>
  <si>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</si>
  <si>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</si>
  <si>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</si>
  <si>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</si>
  <si>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</si>
  <si>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</si>
  <si>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</si>
  <si>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</si>
  <si>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</si>
  <si>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</si>
  <si>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</si>
  <si>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</si>
  <si>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</si>
  <si>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</si>
  <si>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</si>
  <si>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</si>
  <si>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</si>
  <si>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</si>
  <si>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</si>
  <si>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</si>
  <si>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</si>
  <si>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</si>
  <si>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</si>
  <si>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</si>
  <si>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</si>
  <si>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</si>
  <si>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</si>
  <si>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</si>
  <si>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</si>
  <si>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</si>
  <si>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</si>
  <si>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</si>
  <si>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</si>
  <si>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</si>
  <si>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</si>
  <si>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</si>
  <si>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</si>
  <si>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</si>
  <si>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</si>
  <si>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</si>
  <si>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</si>
  <si>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</si>
  <si>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</si>
  <si>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</si>
  <si>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</si>
  <si>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</si>
  <si>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</si>
  <si>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</si>
  <si>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</si>
  <si>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</si>
  <si>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</si>
  <si>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</si>
  <si>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</si>
  <si>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</si>
  <si>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</si>
  <si>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</si>
  <si>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</si>
  <si>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</si>
  <si>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</si>
  <si>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</si>
  <si>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</si>
  <si>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</si>
  <si>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</si>
  <si>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</si>
  <si>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</si>
  <si>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</si>
  <si>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</si>
  <si>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</si>
  <si>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</si>
  <si>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</si>
  <si>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</si>
  <si>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</si>
  <si>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</si>
  <si>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</si>
  <si>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</si>
  <si>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</si>
  <si>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</si>
  <si>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</si>
  <si>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</si>
  <si>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</si>
  <si>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</si>
  <si>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</si>
  <si>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</si>
  <si>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</si>
  <si>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</si>
  <si>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</si>
  <si>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</si>
  <si>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</si>
  <si>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</si>
  <si>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</si>
  <si>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</si>
  <si>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</si>
  <si>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</si>
  <si>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</si>
  <si>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</si>
  <si>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</si>
  <si>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</si>
  <si>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</si>
  <si>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</si>
  <si>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</si>
  <si>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</si>
  <si>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</si>
  <si>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</si>
  <si>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</si>
  <si>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</si>
  <si>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</si>
  <si>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</si>
  <si>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</si>
  <si>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</si>
  <si>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</si>
  <si>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</si>
  <si>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</si>
  <si>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</si>
  <si>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</si>
  <si>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</si>
  <si>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</si>
  <si>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</si>
  <si>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</si>
  <si>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</si>
  <si>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</si>
  <si>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</si>
  <si>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</si>
  <si>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</si>
  <si>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</si>
  <si>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</si>
  <si>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</si>
  <si>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</si>
  <si>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</si>
  <si>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</si>
  <si>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</si>
  <si>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</si>
  <si>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</si>
  <si>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</si>
  <si>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</si>
  <si>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</si>
  <si>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</si>
  <si>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</si>
  <si>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</si>
  <si>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</si>
  <si>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</si>
  <si>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</si>
  <si>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</si>
  <si>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</si>
  <si>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</si>
  <si>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</si>
  <si>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</si>
  <si>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</si>
  <si>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</si>
  <si>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</si>
  <si>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</si>
  <si>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</si>
  <si>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</si>
  <si>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</si>
  <si>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</si>
  <si>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</si>
  <si>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</si>
  <si>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</si>
  <si>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</si>
  <si>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</si>
  <si>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</si>
  <si>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</si>
  <si>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</si>
  <si>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</si>
  <si>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</si>
  <si>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</si>
  <si>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</si>
  <si>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</si>
  <si>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</si>
  <si>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</si>
  <si>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</si>
  <si>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</si>
  <si>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</si>
  <si>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</si>
  <si>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</si>
  <si>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</si>
  <si>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</si>
  <si>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</si>
  <si>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</si>
  <si>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</si>
  <si>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</si>
  <si>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</si>
  <si>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</si>
  <si>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</si>
  <si>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</si>
  <si>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</si>
  <si>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</si>
  <si>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</si>
  <si>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</si>
  <si>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</si>
  <si>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</si>
  <si>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</si>
  <si>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</si>
  <si>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</si>
  <si>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</si>
  <si>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</si>
  <si>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</si>
  <si>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</si>
  <si>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</si>
  <si>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</si>
  <si>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</si>
  <si>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</si>
  <si>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</si>
  <si>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</si>
  <si>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</si>
  <si>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</si>
  <si>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</si>
  <si>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</si>
  <si>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</si>
  <si>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</si>
  <si>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</si>
  <si>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</si>
  <si>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</si>
  <si>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</si>
  <si>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</si>
  <si>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</si>
  <si>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</si>
  <si>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</si>
  <si>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</si>
  <si>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</si>
  <si>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</si>
  <si>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</si>
  <si>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</si>
  <si>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</si>
  <si>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</si>
  <si>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</si>
  <si>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</si>
  <si>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</si>
  <si>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</si>
  <si>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</si>
  <si>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</si>
  <si>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</si>
  <si>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</si>
  <si>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</si>
  <si>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</si>
  <si>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</si>
  <si>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</si>
  <si>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</si>
  <si>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</si>
  <si>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</si>
  <si>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</si>
  <si>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</si>
  <si>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</si>
  <si>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</si>
  <si>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</si>
  <si>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</si>
  <si>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</si>
  <si>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</si>
  <si>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</si>
  <si>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</si>
  <si>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</si>
  <si>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</si>
  <si>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</si>
  <si>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</si>
  <si>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</si>
  <si>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</si>
  <si>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</si>
  <si>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</si>
  <si>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</si>
  <si>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</si>
  <si>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</si>
  <si>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</si>
  <si>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</si>
  <si>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</si>
  <si>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</si>
  <si>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</si>
  <si>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</si>
  <si>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</si>
  <si>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</si>
  <si>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</si>
  <si>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</si>
  <si>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</si>
  <si>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</si>
  <si>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</si>
  <si>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</si>
  <si>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</si>
  <si>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</si>
  <si>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</si>
  <si>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</si>
  <si>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</si>
  <si>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</si>
  <si>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</si>
  <si>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</si>
  <si>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</si>
  <si>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</si>
  <si>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</si>
  <si>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</si>
  <si>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</si>
  <si>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</si>
  <si>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</si>
  <si>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</si>
  <si>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</si>
  <si>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</si>
  <si>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</si>
  <si>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</si>
  <si>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</si>
  <si>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</si>
  <si>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</si>
  <si>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</si>
  <si>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</si>
  <si>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</si>
  <si>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</si>
  <si>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</si>
  <si>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</si>
  <si>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</si>
  <si>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</si>
  <si>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</si>
  <si>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</si>
  <si>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</si>
  <si>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</si>
  <si>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</si>
  <si>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</si>
  <si>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</si>
  <si>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</si>
  <si>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</si>
  <si>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</si>
  <si>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</si>
  <si>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</si>
  <si>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</si>
  <si>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</si>
  <si>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</si>
  <si>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</si>
  <si>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</si>
  <si>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</si>
  <si>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</si>
  <si>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</si>
  <si>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</si>
  <si>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</si>
  <si>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</si>
  <si>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</si>
  <si>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</si>
  <si>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</si>
  <si>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</si>
  <si>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</si>
  <si>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</si>
  <si>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</si>
  <si>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</si>
  <si>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</si>
  <si>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</si>
  <si>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</si>
  <si>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</si>
  <si>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</si>
  <si>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</si>
  <si>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</si>
  <si>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</si>
  <si>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</si>
  <si>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</si>
  <si>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</si>
  <si>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</si>
  <si>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</si>
  <si>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</si>
  <si>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</si>
  <si>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</si>
  <si>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</si>
  <si>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</si>
  <si>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</si>
  <si>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</si>
  <si>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</si>
  <si>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</si>
  <si>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</si>
  <si>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</si>
  <si>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</si>
  <si>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</si>
  <si>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</si>
  <si>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</si>
  <si>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</si>
  <si>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</si>
  <si>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</si>
  <si>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</si>
  <si>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</si>
  <si>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</si>
  <si>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</si>
  <si>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</si>
  <si>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</si>
  <si>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</si>
  <si>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</si>
  <si>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</si>
  <si>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</si>
  <si>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</si>
  <si>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</si>
  <si>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</si>
  <si>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</si>
  <si>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</si>
  <si>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</si>
  <si>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</si>
  <si>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</si>
  <si>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</si>
  <si>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</si>
  <si>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</si>
  <si>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</si>
  <si>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</si>
  <si>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</si>
  <si>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</si>
  <si>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</si>
  <si>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</si>
  <si>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</si>
  <si>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</si>
  <si>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</si>
  <si>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</si>
  <si>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</si>
  <si>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</si>
  <si>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</si>
  <si>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</si>
  <si>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</si>
  <si>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</si>
  <si>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</si>
  <si>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</si>
  <si>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</si>
  <si>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</si>
  <si>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</si>
  <si>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</si>
  <si>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</si>
  <si>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</si>
  <si>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</si>
  <si>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</si>
  <si>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</si>
  <si>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</si>
  <si>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</si>
  <si>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</si>
  <si>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</si>
  <si>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</si>
  <si>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</si>
  <si>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</si>
  <si>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</si>
  <si>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</si>
  <si>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</si>
  <si>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</si>
  <si>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</si>
  <si>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</si>
  <si>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</si>
  <si>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</si>
  <si>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</si>
  <si>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</si>
  <si>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</si>
  <si>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</si>
  <si>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</si>
  <si>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</si>
  <si>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</si>
  <si>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</si>
  <si>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</si>
  <si>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</si>
  <si>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</si>
  <si>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</si>
  <si>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</si>
  <si>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</si>
  <si>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</si>
  <si>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</si>
  <si>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</si>
  <si>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</si>
  <si>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</si>
  <si>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</si>
  <si>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</si>
  <si>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</si>
  <si>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</si>
  <si>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</si>
  <si>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</si>
  <si>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</si>
  <si>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</si>
  <si>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</si>
  <si>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</si>
  <si>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</si>
  <si>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</si>
  <si>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</si>
  <si>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</si>
  <si>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</si>
  <si>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</si>
  <si>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</si>
  <si>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</si>
  <si>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</si>
  <si>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</si>
  <si>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</si>
  <si>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</si>
  <si>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</si>
  <si>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</si>
  <si>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</si>
  <si>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</si>
  <si>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</si>
  <si>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GIFT FROM MOTHER'S BROTHER  (Relative)</t>
  </si>
  <si>
    <t>11 Exps debited to P &amp; L A/c Disallowable u/s 43 B</t>
  </si>
  <si>
    <t>11 (c.) Unpaid Salary</t>
  </si>
  <si>
    <t>7 (f) Penalty</t>
  </si>
  <si>
    <t xml:space="preserve">Nil </t>
  </si>
  <si>
    <t>Salary to Relative</t>
  </si>
  <si>
    <t>2015-16</t>
  </si>
  <si>
    <t xml:space="preserve">Org Cost </t>
  </si>
  <si>
    <t>FF</t>
  </si>
  <si>
    <t>SF</t>
  </si>
  <si>
    <t>2014-15</t>
  </si>
  <si>
    <t>Section 80GGC</t>
  </si>
  <si>
    <t>TENANT</t>
  </si>
  <si>
    <t>ADVANCE TAX PAID</t>
  </si>
  <si>
    <t xml:space="preserve">EXP ADDED </t>
  </si>
  <si>
    <t xml:space="preserve">EXP ALLOWED </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</si>
  <si>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</si>
  <si>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</si>
  <si>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</si>
  <si>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</si>
  <si>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</si>
  <si>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</si>
  <si>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</si>
  <si>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</si>
  <si>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Other Information in Question </t>
  </si>
  <si>
    <t xml:space="preserve">Schedule-BP (Auto) </t>
  </si>
  <si>
    <t xml:space="preserve">Plant &amp; Machinery 15% </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</si>
  <si>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</si>
  <si>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</si>
  <si>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</si>
  <si>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</si>
  <si>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</si>
  <si>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</si>
  <si>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</si>
  <si>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</si>
  <si>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</si>
  <si>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</si>
  <si>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</si>
  <si>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</si>
  <si>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</si>
  <si>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</si>
  <si>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</si>
  <si>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</si>
  <si>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</si>
  <si>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</si>
  <si>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</si>
  <si>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</si>
  <si>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</si>
  <si>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</si>
  <si>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</si>
  <si>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</si>
  <si>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</si>
  <si>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</si>
  <si>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</si>
  <si>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</si>
  <si>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</si>
  <si>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</si>
  <si>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</si>
  <si>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</si>
  <si>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</si>
  <si>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</si>
  <si>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</si>
  <si>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</si>
  <si>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</si>
  <si>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</si>
  <si>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</si>
  <si>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</si>
  <si>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</si>
  <si>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</si>
  <si>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</si>
  <si>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</si>
  <si>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</si>
  <si>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</si>
  <si>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</si>
  <si>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</si>
  <si>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</si>
  <si>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</si>
  <si>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</si>
  <si>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</si>
  <si>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</si>
  <si>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</si>
  <si>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</si>
  <si>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</si>
  <si>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</si>
  <si>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</si>
  <si>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</si>
  <si>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</si>
  <si>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</si>
  <si>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</si>
  <si>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</si>
  <si>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</si>
  <si>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</si>
  <si>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</si>
  <si>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</si>
  <si>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</si>
  <si>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</si>
  <si>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</si>
  <si>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</si>
  <si>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</si>
  <si>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</si>
  <si>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</si>
  <si>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</si>
  <si>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</si>
  <si>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</si>
  <si>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</si>
  <si>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</si>
  <si>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</si>
  <si>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GIFT FROM GRAND FATHER</t>
  </si>
  <si>
    <t>A S S E S S M E N T   Y E A R  :  2 0 1 7 - 1 8</t>
  </si>
  <si>
    <t xml:space="preserve">Section 80C </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</si>
  <si>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</si>
  <si>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</si>
  <si>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r>
      <t xml:space="preserve">Computer </t>
    </r>
    <r>
      <rPr>
        <sz val="9"/>
        <color rgb="FFC00000"/>
        <rFont val="Arial"/>
        <family val="2"/>
      </rPr>
      <t xml:space="preserve"> (Less than 180 days)</t>
    </r>
  </si>
  <si>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</si>
  <si>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</si>
  <si>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8A Exps debited to P &amp; L A/c Disallowable u/s 40</t>
  </si>
  <si>
    <t>8A (b) Non-Deduction of TDS</t>
  </si>
  <si>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</si>
  <si>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</si>
  <si>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</si>
  <si>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</si>
  <si>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</si>
  <si>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</si>
  <si>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</si>
  <si>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</si>
  <si>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</si>
  <si>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</si>
  <si>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</si>
  <si>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</si>
  <si>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</si>
  <si>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</si>
  <si>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</si>
  <si>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</si>
  <si>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</si>
  <si>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NHAI Bonds</t>
  </si>
  <si>
    <t xml:space="preserve">GIFT FROM NON-RELATIVE </t>
  </si>
  <si>
    <t>800000 - 600000</t>
  </si>
  <si>
    <t>Spouse</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</si>
  <si>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</si>
  <si>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</si>
  <si>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</si>
  <si>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</si>
  <si>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</si>
  <si>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</si>
  <si>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</si>
  <si>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</si>
  <si>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</si>
  <si>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</si>
  <si>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</si>
  <si>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</si>
  <si>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</si>
  <si>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</si>
  <si>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</si>
  <si>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</si>
  <si>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21000 + 7000</t>
  </si>
  <si>
    <t>FMV as on 01-04-2001</t>
  </si>
  <si>
    <t>House</t>
  </si>
  <si>
    <t>Exps</t>
  </si>
  <si>
    <t xml:space="preserve">Indexed Acq </t>
  </si>
  <si>
    <t>Indexed Improve</t>
  </si>
  <si>
    <t>NORMAL</t>
  </si>
  <si>
    <t>AY 1984-85</t>
  </si>
  <si>
    <t>Independecnt Cousin Rs. 15000</t>
  </si>
  <si>
    <t xml:space="preserve">Schedule AL </t>
  </si>
  <si>
    <t>35  Income</t>
  </si>
  <si>
    <t>Required</t>
  </si>
  <si>
    <t xml:space="preserve">Part A - Other Information  </t>
  </si>
  <si>
    <t xml:space="preserve">Auto Calculated </t>
  </si>
  <si>
    <t xml:space="preserve">Income from Business / Profession </t>
  </si>
  <si>
    <t xml:space="preserve">(used for Office, Godown, etc) </t>
  </si>
  <si>
    <t>Computer - 40%</t>
  </si>
  <si>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</si>
  <si>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</si>
  <si>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</si>
  <si>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</si>
  <si>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</si>
  <si>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</si>
  <si>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</si>
  <si>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</si>
  <si>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</si>
  <si>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</si>
  <si>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</si>
  <si>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</si>
  <si>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</si>
  <si>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</si>
  <si>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</si>
  <si>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</si>
  <si>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</si>
  <si>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</si>
  <si>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</si>
  <si>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</si>
  <si>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</si>
  <si>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</si>
  <si>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</si>
  <si>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</si>
  <si>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</si>
  <si>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</si>
  <si>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</si>
  <si>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</si>
  <si>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Self-Occupied</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</si>
  <si>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</si>
  <si>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</si>
  <si>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</si>
  <si>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</si>
  <si>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</si>
  <si>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</si>
  <si>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</si>
  <si>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</si>
  <si>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</si>
  <si>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</si>
  <si>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</si>
  <si>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</si>
  <si>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</si>
  <si>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</si>
  <si>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</si>
  <si>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</si>
  <si>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</si>
  <si>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</si>
  <si>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</si>
  <si>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</si>
  <si>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</si>
  <si>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</si>
  <si>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</si>
  <si>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</si>
  <si>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</si>
  <si>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</si>
  <si>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</si>
  <si>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</si>
  <si>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</si>
  <si>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</si>
  <si>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</si>
  <si>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</si>
  <si>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</si>
  <si>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</si>
  <si>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</si>
  <si>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ADD : EDUCATION &amp; HEALTH CESS (4 % ON TAX PAYABLE)</t>
  </si>
  <si>
    <t xml:space="preserve">12 Gross profit </t>
  </si>
  <si>
    <t xml:space="preserve">Charitable Trust </t>
  </si>
  <si>
    <t xml:space="preserve">1(a) Capital </t>
  </si>
  <si>
    <t xml:space="preserve">1(a) Gross Block </t>
  </si>
  <si>
    <t>1(b) Dep</t>
  </si>
  <si>
    <t xml:space="preserve">3(a)(i)D  Closing Stock </t>
  </si>
  <si>
    <t>3(a)(ii)  Sundry Debtors</t>
  </si>
  <si>
    <t>2(a)(i) Investment in Govt</t>
  </si>
  <si>
    <t>3(a)(iii)B Bank Balance</t>
  </si>
  <si>
    <t>3(a)(iii)A Cash Balance</t>
  </si>
  <si>
    <r>
      <rPr>
        <sz val="10"/>
        <color rgb="FF00B0F0"/>
        <rFont val="Arial"/>
        <family val="2"/>
      </rPr>
      <t>3(d)(i)A</t>
    </r>
    <r>
      <rPr>
        <sz val="10"/>
        <color theme="1"/>
        <rFont val="Arial"/>
        <family val="2"/>
      </rPr>
      <t xml:space="preserve">  SundryCreditors</t>
    </r>
  </si>
  <si>
    <r>
      <t xml:space="preserve">Furniure </t>
    </r>
    <r>
      <rPr>
        <sz val="10"/>
        <color rgb="FFC00000"/>
        <rFont val="Arial"/>
        <family val="2"/>
      </rPr>
      <t xml:space="preserve">(Less than 180 days) </t>
    </r>
  </si>
  <si>
    <t>Application of Funds</t>
  </si>
  <si>
    <t>4A(i) Sales</t>
  </si>
  <si>
    <t>4C(iii) VAT / CST</t>
  </si>
  <si>
    <t xml:space="preserve">10(vi) VAT </t>
  </si>
  <si>
    <t>9(ii) Electricity (Power and Fuel)</t>
  </si>
  <si>
    <t xml:space="preserve">13 Gross Profit </t>
  </si>
  <si>
    <t>22(i) Salaries</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</si>
  <si>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</si>
  <si>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</si>
  <si>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</si>
  <si>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</si>
  <si>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</si>
  <si>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</si>
  <si>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</si>
  <si>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</si>
  <si>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</si>
  <si>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</si>
  <si>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9(a) Excessive amt paid to persons  40A(2)(b) </t>
  </si>
  <si>
    <t>OI</t>
  </si>
  <si>
    <t>6s</t>
  </si>
  <si>
    <t>7j</t>
  </si>
  <si>
    <t>8Aj</t>
  </si>
  <si>
    <t>40A</t>
  </si>
  <si>
    <t>43B</t>
  </si>
  <si>
    <t>11h</t>
  </si>
  <si>
    <t>10h</t>
  </si>
  <si>
    <t>Section</t>
  </si>
  <si>
    <t>BP+</t>
  </si>
  <si>
    <t>BP-</t>
  </si>
  <si>
    <t>Auto from P &amp; L (53)</t>
  </si>
  <si>
    <t>Auto from P &amp; L (52)</t>
  </si>
  <si>
    <t>Auto from DEP (6)</t>
  </si>
  <si>
    <t>Auto from OI (7j)</t>
  </si>
  <si>
    <t>Auto from OI (8Aj)</t>
  </si>
  <si>
    <t>15 Disallowed u/s Sec 37</t>
  </si>
  <si>
    <t>16 Disallowed u/s  40</t>
  </si>
  <si>
    <t>Auto from OI (9f)</t>
  </si>
  <si>
    <t>17 Disallowed u/s Sec 40A</t>
  </si>
  <si>
    <t>18 Disallowed u/s  43B</t>
  </si>
  <si>
    <t>Auto from OI (11h)</t>
  </si>
  <si>
    <t>11 Dep Debited to P &amp; L A/c</t>
  </si>
  <si>
    <t>5 Closing Stock</t>
  </si>
  <si>
    <t xml:space="preserve">7 Opening Stock </t>
  </si>
  <si>
    <t>8 Purchases</t>
  </si>
  <si>
    <t xml:space="preserve">Land Acq Cost </t>
  </si>
  <si>
    <t xml:space="preserve">CG Deposit </t>
  </si>
  <si>
    <t>CII</t>
  </si>
  <si>
    <r>
      <t>REC Bonds</t>
    </r>
    <r>
      <rPr>
        <sz val="10"/>
        <color rgb="FFC00000"/>
        <rFont val="Arial"/>
        <family val="2"/>
      </rPr>
      <t xml:space="preserve"> </t>
    </r>
  </si>
  <si>
    <t>Early</t>
  </si>
  <si>
    <t>1986-87</t>
  </si>
  <si>
    <t xml:space="preserve">Not Allowed </t>
  </si>
  <si>
    <r>
      <t xml:space="preserve">REC / NHAI Bonds </t>
    </r>
    <r>
      <rPr>
        <sz val="9"/>
        <color rgb="FFC00000"/>
        <rFont val="Arial"/>
        <family val="2"/>
      </rPr>
      <t xml:space="preserve">(Not Allowed) </t>
    </r>
  </si>
  <si>
    <t xml:space="preserve">Not Taxable </t>
  </si>
  <si>
    <t xml:space="preserve">Add BUSINESS RECEIPT not included </t>
  </si>
  <si>
    <t>No Auto-23</t>
  </si>
  <si>
    <t xml:space="preserve">SHORT TERM CAPITAL GAIN  (Listed Shares) </t>
  </si>
  <si>
    <t>Less Acq Cost</t>
  </si>
  <si>
    <t>FMV as on 31-01-2018</t>
  </si>
  <si>
    <t>Less Transfer Exps</t>
  </si>
  <si>
    <t xml:space="preserve">Orginal  Cost (1989-90) </t>
  </si>
  <si>
    <t>REC Bonds (20 Lakhs)</t>
  </si>
  <si>
    <t>NHAI Bonds (40 Lakhs)</t>
  </si>
  <si>
    <t>FMValue as on 31-01-2018</t>
  </si>
  <si>
    <t>Section 80TTB</t>
  </si>
  <si>
    <t>Capital  Expenditure   Sec 37</t>
  </si>
  <si>
    <t>Contingent Liab..        Sec 37</t>
  </si>
  <si>
    <t>Income Tax                Sec 40</t>
  </si>
  <si>
    <t>Cash Payment         Sec 40A</t>
  </si>
  <si>
    <t>8Ae</t>
  </si>
  <si>
    <t>12(i)</t>
  </si>
  <si>
    <t>AY 2016-17</t>
  </si>
  <si>
    <t xml:space="preserve">T. D. S. BY RAM TEXTILES  (Business Receipt-Commission) </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</si>
  <si>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</si>
  <si>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</si>
  <si>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</si>
  <si>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</si>
  <si>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</si>
  <si>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</si>
  <si>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</si>
  <si>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t>28000 + 5000</t>
  </si>
  <si>
    <t>1. Advertisement - Payment made to relative Rs. 80,000 (Excessive Rs. 18,000)</t>
  </si>
  <si>
    <t>2. Tax is not deducted on Comm of Rs. 1,50,000</t>
  </si>
  <si>
    <t>3. Festival Exps - Personal Exp Rs. 10,000</t>
  </si>
  <si>
    <t>4. Salary not paid Rs. 3,00,000 till Due  date of ITR Filing</t>
  </si>
  <si>
    <t>5. VAT includes Penalty of Rs. 2,000</t>
  </si>
  <si>
    <t>P &amp; M  (01-04-2020)</t>
  </si>
  <si>
    <t>Computer  (01-04-2020)</t>
  </si>
  <si>
    <r>
      <t>Furniture (01-04-2020)</t>
    </r>
    <r>
      <rPr>
        <sz val="10"/>
        <color rgb="FFC00000"/>
        <rFont val="Arial"/>
        <family val="2"/>
      </rPr>
      <t xml:space="preserve"> Sold 400</t>
    </r>
  </si>
  <si>
    <t>(Sold Rs. 400 Apr-Sept 20)</t>
  </si>
  <si>
    <t>Code 09028</t>
  </si>
  <si>
    <t>Upto 2,50,000</t>
  </si>
  <si>
    <t>2,50,001 to 5,00,000</t>
  </si>
  <si>
    <t>5,00,001 to 10,00,000</t>
  </si>
  <si>
    <t>234A</t>
  </si>
  <si>
    <t>234B</t>
  </si>
  <si>
    <t>234C</t>
  </si>
  <si>
    <t>To join the course: https://www.edfolio.in/courses/e-filing-tax-returns</t>
  </si>
  <si>
    <t>Case Study-18, Pg  549-551 (Dr. Singhania's Book, 65th edition August 2021)</t>
  </si>
  <si>
    <t>Assessment Year 2021-22 Computation of Income &amp; Tax Paid</t>
  </si>
  <si>
    <t xml:space="preserve">Mohan Mfg. (Trading Busines) </t>
  </si>
  <si>
    <t xml:space="preserve">Income Tax </t>
  </si>
  <si>
    <t>ADD: INTEREST u/s 234A, 234B &amp; 234C</t>
  </si>
  <si>
    <t xml:space="preserve">Interest </t>
  </si>
  <si>
    <t xml:space="preserve"> Case study-18   Part A  Trading and Profit &amp; Loss A/c  (Code 09028   Trading Business) </t>
  </si>
  <si>
    <t>2019-20</t>
  </si>
  <si>
    <t>2020-21</t>
  </si>
  <si>
    <t>2021-22</t>
  </si>
  <si>
    <t>Case Study-19, Pg  551-554 (Dr. Singhania's Book, 65th edition August 2021)</t>
  </si>
  <si>
    <t>EDFOLIO</t>
  </si>
  <si>
    <t>Course Name: E-Filing of Tax Returns</t>
  </si>
  <si>
    <t>50000*301/100</t>
  </si>
  <si>
    <t>12000*301/105</t>
  </si>
  <si>
    <t>300000*301/148</t>
  </si>
  <si>
    <t xml:space="preserve">LTCG </t>
  </si>
  <si>
    <t>910000*301/100</t>
  </si>
  <si>
    <t>Buyer: ComSolution Ltd., PAN: BAACC7801G</t>
  </si>
  <si>
    <t>DEP ADDED BACK</t>
  </si>
  <si>
    <t>DEP ALLOWED</t>
  </si>
  <si>
    <t>250000 - 500000</t>
  </si>
  <si>
    <t>500000 - 1000000</t>
  </si>
  <si>
    <t>Less CG Deposit U/S 54</t>
  </si>
  <si>
    <t>234F</t>
  </si>
  <si>
    <t xml:space="preserve">ADD: LATE FEES U/S 234F </t>
  </si>
  <si>
    <t>Round Down by 100</t>
  </si>
  <si>
    <t xml:space="preserve">Month </t>
  </si>
  <si>
    <t>Section 234B:  If  Amount Exceeds Rs. 10000 (Less than 90 %.....)</t>
  </si>
  <si>
    <t>Total Tax, Surcharge &amp; Cess</t>
  </si>
  <si>
    <t>Less TDS by the Employer, Bank</t>
  </si>
  <si>
    <t xml:space="preserve"> Tax Liability after TDS</t>
  </si>
  <si>
    <t>Advance Tax   till 31-03-2021</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</si>
  <si>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</si>
  <si>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</si>
  <si>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</si>
  <si>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</si>
  <si>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</si>
  <si>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</si>
  <si>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</si>
  <si>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Add Interest u/s 234C till 31-03-2021</t>
  </si>
  <si>
    <t>Intt u/s 234B</t>
  </si>
  <si>
    <t>Intt u/s 234A</t>
  </si>
  <si>
    <t>Calculation  of Interest under Sections 234A, 234B &amp; 234C</t>
  </si>
  <si>
    <t>Total Interest</t>
  </si>
  <si>
    <t>Section 234C: In case of Non-Sr Citizen: If  Amount Exceeds Rs. 10000</t>
  </si>
  <si>
    <t xml:space="preserve">Liability for Advance tax </t>
  </si>
  <si>
    <t xml:space="preserve">Assuming more than 5% in Cash (Receipts &amp; Payments) </t>
  </si>
  <si>
    <t>ITR can not be filed after 31-03-2022</t>
  </si>
  <si>
    <t xml:space="preserve">Sec 44AB:   Audit not rquired </t>
  </si>
  <si>
    <t>Code 04097</t>
  </si>
  <si>
    <t xml:space="preserve">Assuming not exceeding 5% in Cash (Receipts &amp; Payments) </t>
  </si>
  <si>
    <t>Due date of Filing 31-12-2021 (For Section 234A_31-07-2021)</t>
  </si>
  <si>
    <t>Due Date of Filing 31-12-2021</t>
  </si>
  <si>
    <t>Rs. 5000 from 01-01-22 to 31-03-22)</t>
  </si>
  <si>
    <t xml:space="preserve">Note: </t>
  </si>
  <si>
    <t xml:space="preserve">Less TDS by the Deductors </t>
  </si>
  <si>
    <t>Add Interest u/s 234B till  31-05-2021</t>
  </si>
  <si>
    <t>Less Self-Assessment Paid on 31-05-2021</t>
  </si>
  <si>
    <t>Extended Due Date of Filing ITR:  15-03-2022</t>
  </si>
  <si>
    <t>Date for Calculation of Interest u/s 234A :  31-10-2021</t>
  </si>
  <si>
    <t>Extended Due Date of Filing Audit Report:  15-02-2022</t>
  </si>
  <si>
    <t>Normally Due Date of Filing Audit Report: 30-09-2021</t>
  </si>
  <si>
    <t>Normally Due Date of Filing ITR: 31-10-2021</t>
  </si>
  <si>
    <t xml:space="preserve">Assuming not exceeding 5% in Cash (Receipts &amp; Payments), So Tax Audit not required </t>
  </si>
  <si>
    <t>Normally Due Date of Filing ITR: 31-07-2021</t>
  </si>
  <si>
    <t>Extended Due Date of Filing ITR:  31-12-2021</t>
  </si>
  <si>
    <t>Tax Calculations in Jan-2022</t>
  </si>
  <si>
    <t>PUNB0766300</t>
  </si>
  <si>
    <t>Plot Purchased</t>
  </si>
  <si>
    <t>First Floor constructed</t>
  </si>
  <si>
    <t>Second Floor constructed</t>
  </si>
  <si>
    <t xml:space="preserve">Punjab National Bank_IFSC </t>
  </si>
  <si>
    <t>Org Cost of Resi House Property</t>
  </si>
  <si>
    <t xml:space="preserve">Filed ITR after Due date (31-12-21) </t>
  </si>
  <si>
    <t>Sale of Listed Shares (25-10-20)</t>
  </si>
  <si>
    <t xml:space="preserve">Orginal  Cost (10-11-2019) </t>
  </si>
  <si>
    <t>Sale of Jewellery (20-02-21) &amp; Exps 2000</t>
  </si>
  <si>
    <t xml:space="preserve">Cost Inflation Index (FY 2020-21) </t>
  </si>
  <si>
    <t>Computer (01-04-20) @ 40%</t>
  </si>
  <si>
    <t xml:space="preserve">Sold (Apr-Sep 2020) </t>
  </si>
  <si>
    <t>Furniture (01-04-20) @ 10%</t>
  </si>
  <si>
    <t>Fair Market Value</t>
  </si>
  <si>
    <t xml:space="preserve">REC Bonds </t>
  </si>
  <si>
    <t xml:space="preserve">NHAI Bonds  </t>
  </si>
  <si>
    <t>Rs. 402000 * 301/100</t>
  </si>
  <si>
    <t>Not Allowed</t>
  </si>
  <si>
    <t>Jewellery</t>
  </si>
  <si>
    <t>Prov For DD                Sec 36</t>
  </si>
  <si>
    <t>ADD: INTEREST (234A, 234B &amp; 234C)</t>
  </si>
  <si>
    <t>ADD: LATE Fees U/S 234F</t>
  </si>
  <si>
    <t>Case Study-20, Pg  554-556 (Dr. Singhania's Book, 65th edition August 2021)</t>
  </si>
  <si>
    <t>Total 31 Schedules</t>
  </si>
  <si>
    <t>500001 to 1000000</t>
  </si>
  <si>
    <t>Above Rs. 1000000</t>
  </si>
  <si>
    <t>upto Rs. 300000</t>
  </si>
  <si>
    <t>300001 to 500000</t>
  </si>
  <si>
    <t>STCG</t>
  </si>
  <si>
    <t>LTCG = 20.00  * 1.15 * 1.05</t>
  </si>
  <si>
    <t>STCG = 15.00  * 1.15 * 1.04</t>
  </si>
  <si>
    <t>Intt u/s 234C</t>
  </si>
  <si>
    <t>Due date of Filing 15-03-2022 (For Section 234A_31-10-2021)</t>
  </si>
  <si>
    <t>Sec 44AB:  Compulsory Audit Required</t>
  </si>
  <si>
    <t xml:space="preserve">Shriram Charitable Trust-Address </t>
  </si>
  <si>
    <t>Resi House Property- 1Crore</t>
  </si>
  <si>
    <t>28 Schedules</t>
  </si>
  <si>
    <t>Tax Calculations in Feb-2022</t>
  </si>
  <si>
    <t>Rs. 5000 (16-03-2022 to 31-03-2022)</t>
  </si>
  <si>
    <t>Tax Calculations in Feb-2022, Due Date of Filing 15-03-2022</t>
  </si>
  <si>
    <t>Assuming more than 5% in Cash (Receipts or Payments), So Tax Audit is compulsory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</si>
</sst>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 numFmtId="170" formatCode="&quot;₹&quot;\ #,##0"/>
  </numFmts>
  <fonts count="2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sz val="12"/>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i/>
      <sz val="9"/>
      <color rgb="FF0070C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b/>
      <sz val="9"/>
      <color rgb="FF002060"/>
      <name val="Arial"/>
      <family val="2"/>
    </font>
    <font>
      <sz val="9"/>
      <color rgb="FF00B050"/>
      <name val="Arial"/>
      <family val="2"/>
    </font>
    <font>
      <i/>
      <sz val="9"/>
      <color rgb="FF00B0F0"/>
      <name val="Arial"/>
      <family val="2"/>
    </font>
    <font>
      <u/>
      <sz val="10"/>
      <color theme="10"/>
      <name val="Arial"/>
      <family val="2"/>
    </font>
    <font>
      <sz val="10"/>
      <color theme="10"/>
      <name val="Arial"/>
      <family val="2"/>
    </font>
    <font>
      <sz val="8"/>
      <color rgb="FF0000FF"/>
      <name val="Arial"/>
      <family val="2"/>
    </font>
    <font>
      <sz val="12"/>
      <color theme="0"/>
      <name val="Calibri"/>
      <family val="2"/>
    </font>
    <font>
      <sz val="18"/>
      <color theme="1"/>
      <name val="Calibri"/>
      <family val="2"/>
    </font>
    <font>
      <sz val="10"/>
      <color rgb="FF0C08B8"/>
      <name val="Arial"/>
      <family val="2"/>
    </font>
    <font>
      <sz val="8"/>
      <color rgb="FF0C08B8"/>
      <name val="Arial Narrow"/>
      <family val="2"/>
    </font>
    <font>
      <sz val="9"/>
      <color rgb="FF0C08B8"/>
      <name val="Arial"/>
      <family val="2"/>
    </font>
    <font>
      <b/>
      <sz val="9"/>
      <color theme="9" tint="-0.249977111117893"/>
      <name val="Arial"/>
      <family val="2"/>
    </font>
    <font>
      <sz val="9"/>
      <color rgb="FF0000FF"/>
      <name val="Arial"/>
      <family val="2"/>
    </font>
    <font>
      <b/>
      <sz val="8"/>
      <color theme="9" tint="-0.249977111117893"/>
      <name val="Arial"/>
      <family val="2"/>
    </font>
    <font>
      <sz val="8"/>
      <color rgb="FF00B050"/>
      <name val="Arial"/>
      <family val="2"/>
    </font>
    <font>
      <b/>
      <sz val="9"/>
      <color rgb="FF0000FF"/>
      <name val="Arial"/>
      <family val="2"/>
    </font>
    <font>
      <sz val="9"/>
      <color theme="0"/>
      <name val="Arial"/>
      <family val="2"/>
    </font>
    <font>
      <sz val="9"/>
      <color theme="9" tint="-0.249977111117893"/>
      <name val="Arial"/>
      <family val="2"/>
    </font>
    <font>
      <sz val="9"/>
      <color theme="3" tint="-0.249977111117893"/>
      <name val="Arial"/>
      <family val="2"/>
    </font>
    <font>
      <b/>
      <sz val="10"/>
      <color rgb="FF0C08B8"/>
      <name val="Arial"/>
      <family val="2"/>
    </font>
    <font>
      <i/>
      <sz val="9"/>
      <color theme="5" tint="-0.249977111117893"/>
      <name val="Arial"/>
      <family val="2"/>
    </font>
    <font>
      <sz val="9"/>
      <color theme="7" tint="-0.249977111117893"/>
      <name val="Arial"/>
      <family val="2"/>
    </font>
    <font>
      <sz val="9"/>
      <color theme="5" tint="-0.249977111117893"/>
      <name val="Arial"/>
      <family val="2"/>
    </font>
    <font>
      <sz val="8"/>
      <color rgb="FF0C08B8"/>
      <name val="Arial"/>
      <family val="2"/>
    </font>
    <font>
      <i/>
      <sz val="8"/>
      <color theme="5" tint="-0.249977111117893"/>
      <name val="Arial"/>
      <family val="2"/>
    </font>
    <font>
      <b/>
      <sz val="8"/>
      <color rgb="FFC00000"/>
      <name val="Arial Narrow"/>
      <family val="2"/>
    </font>
    <font>
      <b/>
      <sz val="8"/>
      <color rgb="FF0C08B8"/>
      <name val="Arial Narrow"/>
      <family val="2"/>
    </font>
    <font>
      <u/>
      <sz val="11"/>
      <color theme="10"/>
      <name val="Calibri"/>
      <family val="2"/>
      <scheme val="minor"/>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theme="2"/>
        <bgColor indexed="64"/>
      </patternFill>
    </fill>
    <fill>
      <patternFill patternType="solid">
        <fgColor theme="6" tint="-0.499984740745262"/>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s>
  <cellStyleXfs count="58">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168" fontId="8" fillId="0" borderId="0" applyFon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8" fillId="0" borderId="0"/>
    <xf numFmtId="0" fontId="57"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7"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5" fillId="0" borderId="0"/>
    <xf numFmtId="168" fontId="5" fillId="0" borderId="0" applyFont="0" applyFill="0" applyBorder="0" applyAlignment="0" applyProtection="0"/>
    <xf numFmtId="0" fontId="5" fillId="0" borderId="0"/>
    <xf numFmtId="0" fontId="4" fillId="0" borderId="0"/>
    <xf numFmtId="0" fontId="3" fillId="0" borderId="0"/>
    <xf numFmtId="9" fontId="185" fillId="0" borderId="0" applyFont="0" applyFill="0" applyBorder="0" applyAlignment="0" applyProtection="0"/>
    <xf numFmtId="43" fontId="5" fillId="0" borderId="0" applyFont="0" applyFill="0" applyBorder="0" applyAlignment="0" applyProtection="0"/>
    <xf numFmtId="0" fontId="190" fillId="0" borderId="0" applyNumberFormat="0" applyFill="0" applyBorder="0" applyAlignment="0" applyProtection="0"/>
    <xf numFmtId="0" fontId="2" fillId="0" borderId="0"/>
    <xf numFmtId="0" fontId="214" fillId="0" borderId="0" applyNumberFormat="0" applyFill="0" applyBorder="0" applyAlignment="0" applyProtection="0"/>
    <xf numFmtId="0" fontId="1" fillId="0" borderId="0"/>
  </cellStyleXfs>
  <cellXfs count="1563">
    <xf numFmtId="0" fontId="0" fillId="0" borderId="0" xfId="0"/>
    <xf numFmtId="0" fontId="0" fillId="0" borderId="0" xfId="0" applyBorder="1"/>
    <xf numFmtId="0" fontId="0" fillId="0" borderId="0" xfId="0" applyBorder="1" applyAlignment="1">
      <alignment horizontal="left"/>
    </xf>
    <xf numFmtId="0" fontId="7" fillId="0" borderId="0" xfId="0" applyFont="1" applyBorder="1"/>
    <xf numFmtId="0" fontId="11" fillId="0" borderId="0" xfId="0" applyFont="1" applyBorder="1"/>
    <xf numFmtId="0" fontId="0" fillId="0" borderId="0" xfId="0" applyBorder="1" applyAlignment="1">
      <alignment horizontal="center"/>
    </xf>
    <xf numFmtId="1" fontId="14" fillId="0" borderId="0" xfId="0" applyNumberFormat="1" applyFont="1" applyBorder="1" applyAlignment="1">
      <alignment horizontal="right"/>
    </xf>
    <xf numFmtId="0" fontId="16" fillId="0" borderId="0" xfId="0" applyFont="1" applyBorder="1" applyAlignment="1">
      <alignment horizontal="left"/>
    </xf>
    <xf numFmtId="0" fontId="16" fillId="0" borderId="0" xfId="0" applyFont="1" applyBorder="1"/>
    <xf numFmtId="0" fontId="0" fillId="24" borderId="0" xfId="0" applyFill="1" applyBorder="1"/>
    <xf numFmtId="0" fontId="14" fillId="0" borderId="0" xfId="0" applyFont="1" applyBorder="1" applyAlignment="1">
      <alignment horizontal="right"/>
    </xf>
    <xf numFmtId="0" fontId="19" fillId="0" borderId="0" xfId="0" applyFont="1" applyBorder="1"/>
    <xf numFmtId="0" fontId="10" fillId="0" borderId="0" xfId="0" applyFont="1" applyBorder="1" applyAlignment="1">
      <alignment horizontal="left"/>
    </xf>
    <xf numFmtId="0" fontId="21" fillId="0" borderId="0" xfId="0" applyFont="1" applyBorder="1" applyAlignment="1">
      <alignment horizontal="left"/>
    </xf>
    <xf numFmtId="0" fontId="0" fillId="0" borderId="0" xfId="0" applyFill="1" applyBorder="1"/>
    <xf numFmtId="0" fontId="24" fillId="0" borderId="0" xfId="0" applyFont="1" applyBorder="1" applyAlignment="1">
      <alignment horizontal="left"/>
    </xf>
    <xf numFmtId="0" fontId="25" fillId="0" borderId="0" xfId="0" applyFont="1" applyBorder="1" applyAlignment="1">
      <alignment horizontal="left"/>
    </xf>
    <xf numFmtId="0" fontId="27" fillId="0" borderId="0" xfId="0" applyFont="1"/>
    <xf numFmtId="0" fontId="9" fillId="0" borderId="0" xfId="0" applyFont="1" applyBorder="1"/>
    <xf numFmtId="0" fontId="13" fillId="0" borderId="0" xfId="0" applyFont="1" applyBorder="1"/>
    <xf numFmtId="0" fontId="17" fillId="0" borderId="0" xfId="0" applyFont="1" applyBorder="1"/>
    <xf numFmtId="0" fontId="8" fillId="0" borderId="0" xfId="0" applyFont="1" applyBorder="1"/>
    <xf numFmtId="0" fontId="26" fillId="0" borderId="0" xfId="0" applyFont="1" applyBorder="1" applyAlignment="1">
      <alignment horizontal="left"/>
    </xf>
    <xf numFmtId="0" fontId="12" fillId="0" borderId="0" xfId="0" applyFont="1" applyBorder="1"/>
    <xf numFmtId="0" fontId="31" fillId="0" borderId="0" xfId="0" applyFont="1" applyBorder="1" applyAlignment="1">
      <alignment horizontal="left"/>
    </xf>
    <xf numFmtId="0" fontId="32" fillId="0" borderId="0" xfId="0" applyFont="1" applyBorder="1" applyAlignment="1">
      <alignment horizontal="right"/>
    </xf>
    <xf numFmtId="2" fontId="19" fillId="0" borderId="0" xfId="0" applyNumberFormat="1" applyFont="1" applyAlignment="1">
      <alignment horizontal="left"/>
    </xf>
    <xf numFmtId="0" fontId="36" fillId="0" borderId="0" xfId="0" applyFont="1" applyFill="1" applyBorder="1"/>
    <xf numFmtId="0" fontId="19" fillId="0" borderId="0" xfId="0" applyFont="1" applyBorder="1" applyAlignment="1">
      <alignment horizontal="left"/>
    </xf>
    <xf numFmtId="0" fontId="37" fillId="0" borderId="15" xfId="0" applyFont="1" applyBorder="1"/>
    <xf numFmtId="1" fontId="20" fillId="0" borderId="14" xfId="0" applyNumberFormat="1" applyFont="1" applyBorder="1" applyAlignment="1">
      <alignment horizontal="left"/>
    </xf>
    <xf numFmtId="1" fontId="39" fillId="0" borderId="0" xfId="0" applyNumberFormat="1" applyFont="1" applyBorder="1"/>
    <xf numFmtId="1" fontId="21" fillId="0" borderId="0" xfId="0" applyNumberFormat="1" applyFont="1" applyBorder="1" applyAlignment="1">
      <alignment horizontal="left"/>
    </xf>
    <xf numFmtId="0" fontId="26" fillId="0" borderId="0" xfId="0" applyFont="1" applyBorder="1" applyAlignment="1">
      <alignment horizontal="right"/>
    </xf>
    <xf numFmtId="0" fontId="26" fillId="0" borderId="0" xfId="0" applyFont="1" applyBorder="1" applyAlignment="1">
      <alignment horizontal="center"/>
    </xf>
    <xf numFmtId="9" fontId="19" fillId="0" borderId="0" xfId="0" applyNumberFormat="1" applyFont="1" applyBorder="1" applyAlignment="1">
      <alignment horizontal="center"/>
    </xf>
    <xf numFmtId="0" fontId="5" fillId="0" borderId="0" xfId="0" applyFont="1"/>
    <xf numFmtId="1" fontId="8" fillId="0" borderId="0" xfId="0" applyNumberFormat="1" applyFont="1" applyBorder="1"/>
    <xf numFmtId="0" fontId="26" fillId="0" borderId="0" xfId="0" applyFont="1" applyFill="1" applyBorder="1" applyAlignment="1">
      <alignment horizontal="left"/>
    </xf>
    <xf numFmtId="0" fontId="9"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5" fillId="0" borderId="0" xfId="0" applyFont="1" applyBorder="1" applyAlignment="1">
      <alignment horizontal="left"/>
    </xf>
    <xf numFmtId="0" fontId="21" fillId="0" borderId="0" xfId="0" applyFont="1" applyFill="1" applyBorder="1" applyAlignment="1">
      <alignment horizontal="left"/>
    </xf>
    <xf numFmtId="0" fontId="46" fillId="0" borderId="0" xfId="0" applyFont="1" applyBorder="1"/>
    <xf numFmtId="0" fontId="21" fillId="0" borderId="0" xfId="0" applyFont="1" applyBorder="1"/>
    <xf numFmtId="1" fontId="7" fillId="0" borderId="0" xfId="0" applyNumberFormat="1" applyFont="1" applyFill="1" applyBorder="1"/>
    <xf numFmtId="0" fontId="0" fillId="0" borderId="0" xfId="0" applyFill="1"/>
    <xf numFmtId="2" fontId="0" fillId="0" borderId="0" xfId="0" applyNumberFormat="1"/>
    <xf numFmtId="2" fontId="48" fillId="0" borderId="0" xfId="0" applyNumberFormat="1" applyFont="1"/>
    <xf numFmtId="0" fontId="16" fillId="0" borderId="0" xfId="0" applyFont="1" applyAlignment="1">
      <alignment horizontal="center"/>
    </xf>
    <xf numFmtId="0" fontId="49" fillId="0" borderId="0" xfId="0" applyFont="1" applyAlignment="1">
      <alignment horizontal="center"/>
    </xf>
    <xf numFmtId="0" fontId="49" fillId="0" borderId="0" xfId="0" applyFont="1" applyFill="1" applyAlignment="1">
      <alignment horizontal="center"/>
    </xf>
    <xf numFmtId="0" fontId="18" fillId="0" borderId="0" xfId="0" applyFont="1"/>
    <xf numFmtId="1" fontId="0" fillId="0" borderId="12" xfId="0" applyNumberFormat="1" applyBorder="1"/>
    <xf numFmtId="0" fontId="20" fillId="0" borderId="0" xfId="0" applyFont="1"/>
    <xf numFmtId="1" fontId="23" fillId="0" borderId="0" xfId="0" applyNumberFormat="1" applyFont="1"/>
    <xf numFmtId="0" fontId="50" fillId="0" borderId="0" xfId="0" applyFont="1" applyAlignment="1">
      <alignment horizontal="right"/>
    </xf>
    <xf numFmtId="0" fontId="0" fillId="0" borderId="0" xfId="0" applyAlignment="1">
      <alignment horizontal="center"/>
    </xf>
    <xf numFmtId="0" fontId="51" fillId="0" borderId="0" xfId="0" applyFont="1" applyAlignment="1">
      <alignment horizontal="left" indent="1"/>
    </xf>
    <xf numFmtId="2" fontId="7" fillId="0" borderId="12" xfId="0" applyNumberFormat="1" applyFont="1" applyBorder="1"/>
    <xf numFmtId="0" fontId="52" fillId="0" borderId="0" xfId="0" applyFont="1" applyAlignment="1">
      <alignment horizontal="right"/>
    </xf>
    <xf numFmtId="1" fontId="0" fillId="0" borderId="0" xfId="0" applyNumberFormat="1"/>
    <xf numFmtId="2" fontId="7" fillId="0" borderId="34" xfId="0" applyNumberFormat="1" applyFont="1" applyBorder="1"/>
    <xf numFmtId="1" fontId="5" fillId="0" borderId="0" xfId="0" applyNumberFormat="1" applyFont="1" applyFill="1"/>
    <xf numFmtId="0" fontId="40" fillId="0" borderId="0" xfId="0" applyFont="1" applyAlignment="1">
      <alignment horizontal="right"/>
    </xf>
    <xf numFmtId="0" fontId="53"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8" fillId="0" borderId="0" xfId="0" applyFont="1" applyAlignment="1">
      <alignment horizontal="right"/>
    </xf>
    <xf numFmtId="0" fontId="23" fillId="25" borderId="0" xfId="0" applyFont="1" applyFill="1" applyAlignment="1">
      <alignment horizontal="center"/>
    </xf>
    <xf numFmtId="2" fontId="19" fillId="0" borderId="0" xfId="0" applyNumberFormat="1" applyFont="1" applyAlignment="1">
      <alignment horizontal="left" indent="1"/>
    </xf>
    <xf numFmtId="1" fontId="8" fillId="0" borderId="0" xfId="0" applyNumberFormat="1" applyFont="1" applyAlignment="1">
      <alignment horizontal="center"/>
    </xf>
    <xf numFmtId="2" fontId="19" fillId="0" borderId="0" xfId="0" applyNumberFormat="1" applyFont="1" applyAlignment="1"/>
    <xf numFmtId="0" fontId="0" fillId="0" borderId="0" xfId="0" applyAlignment="1">
      <alignment horizontal="left" indent="2"/>
    </xf>
    <xf numFmtId="0" fontId="56" fillId="0" borderId="0" xfId="0" applyFont="1" applyAlignment="1">
      <alignment horizontal="center"/>
    </xf>
    <xf numFmtId="0" fontId="23" fillId="0" borderId="0" xfId="0" applyFont="1" applyAlignment="1">
      <alignment horizontal="center"/>
    </xf>
    <xf numFmtId="0" fontId="74" fillId="0" borderId="0" xfId="39" applyFont="1" applyBorder="1"/>
    <xf numFmtId="0" fontId="74" fillId="0" borderId="0" xfId="39" applyFont="1" applyBorder="1" applyAlignment="1">
      <alignment horizontal="center"/>
    </xf>
    <xf numFmtId="0" fontId="74" fillId="0" borderId="14" xfId="39" applyFont="1" applyBorder="1"/>
    <xf numFmtId="0" fontId="74" fillId="0" borderId="35" xfId="39" applyFont="1" applyBorder="1"/>
    <xf numFmtId="0" fontId="74" fillId="0" borderId="16" xfId="39" applyFont="1" applyBorder="1"/>
    <xf numFmtId="0" fontId="74" fillId="0" borderId="15" xfId="39" applyFont="1" applyBorder="1"/>
    <xf numFmtId="0" fontId="74" fillId="0" borderId="10" xfId="39" applyFont="1" applyBorder="1"/>
    <xf numFmtId="0" fontId="74" fillId="0" borderId="18" xfId="39" applyFont="1" applyBorder="1"/>
    <xf numFmtId="0" fontId="74" fillId="0" borderId="14" xfId="39" applyFont="1" applyBorder="1" applyAlignment="1">
      <alignment horizontal="center"/>
    </xf>
    <xf numFmtId="0" fontId="74" fillId="0" borderId="11" xfId="39" applyFont="1" applyBorder="1"/>
    <xf numFmtId="0" fontId="74" fillId="0" borderId="36" xfId="39" applyFont="1" applyBorder="1"/>
    <xf numFmtId="0" fontId="74" fillId="0" borderId="17" xfId="39" applyFont="1" applyBorder="1"/>
    <xf numFmtId="0" fontId="74" fillId="0" borderId="31" xfId="39" applyFont="1" applyBorder="1"/>
    <xf numFmtId="0" fontId="74" fillId="0" borderId="31" xfId="39" applyFont="1" applyBorder="1" applyAlignment="1">
      <alignment horizontal="center"/>
    </xf>
    <xf numFmtId="0" fontId="74" fillId="0" borderId="0" xfId="39" applyFont="1" applyBorder="1" applyAlignment="1">
      <alignment horizontal="left"/>
    </xf>
    <xf numFmtId="0" fontId="74" fillId="0" borderId="0" xfId="39" applyFont="1" applyBorder="1" applyAlignment="1">
      <alignment horizontal="center" vertical="center" textRotation="90"/>
    </xf>
    <xf numFmtId="0" fontId="77" fillId="0" borderId="37" xfId="39" applyNumberFormat="1" applyFont="1" applyBorder="1" applyAlignment="1">
      <alignment horizontal="center" vertical="center"/>
    </xf>
    <xf numFmtId="0" fontId="74" fillId="0" borderId="14" xfId="39" applyFont="1" applyBorder="1" applyAlignment="1">
      <alignment horizontal="center" vertical="center" textRotation="90"/>
    </xf>
    <xf numFmtId="0" fontId="74" fillId="0" borderId="38" xfId="39" applyFont="1" applyBorder="1"/>
    <xf numFmtId="0" fontId="74" fillId="0" borderId="37" xfId="39" applyFont="1" applyBorder="1" applyAlignment="1">
      <alignment vertical="center"/>
    </xf>
    <xf numFmtId="0" fontId="77" fillId="0" borderId="14" xfId="39" applyNumberFormat="1" applyFont="1" applyBorder="1" applyAlignment="1">
      <alignment horizontal="center" vertical="center"/>
    </xf>
    <xf numFmtId="0" fontId="74" fillId="0" borderId="39" xfId="39" applyFont="1" applyBorder="1"/>
    <xf numFmtId="0" fontId="74" fillId="0" borderId="37" xfId="39" applyFont="1" applyBorder="1" applyAlignment="1">
      <alignment horizontal="center" vertical="center"/>
    </xf>
    <xf numFmtId="0" fontId="74" fillId="0" borderId="17" xfId="39" applyFont="1" applyBorder="1" applyAlignment="1">
      <alignment horizontal="center"/>
    </xf>
    <xf numFmtId="0" fontId="74" fillId="0" borderId="40" xfId="39" applyFont="1" applyBorder="1"/>
    <xf numFmtId="0" fontId="74" fillId="0" borderId="39" xfId="39" applyFont="1" applyBorder="1" applyAlignment="1">
      <alignment horizontal="center" vertical="center"/>
    </xf>
    <xf numFmtId="0" fontId="74" fillId="0" borderId="37" xfId="39" applyFont="1" applyBorder="1"/>
    <xf numFmtId="1" fontId="8" fillId="25" borderId="14" xfId="0" applyNumberFormat="1" applyFont="1" applyFill="1" applyBorder="1"/>
    <xf numFmtId="0" fontId="74" fillId="0" borderId="10" xfId="39" applyFont="1" applyBorder="1" applyAlignment="1">
      <alignment horizontal="center" vertical="center" textRotation="90"/>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18" xfId="39" applyFont="1" applyBorder="1" applyAlignment="1">
      <alignment horizontal="center"/>
    </xf>
    <xf numFmtId="0" fontId="19" fillId="0" borderId="39" xfId="41" applyNumberFormat="1" applyFont="1" applyFill="1" applyBorder="1" applyAlignment="1" applyProtection="1">
      <alignment horizontal="center" vertical="top"/>
    </xf>
    <xf numFmtId="0" fontId="19" fillId="0" borderId="37" xfId="41" applyNumberFormat="1" applyFont="1" applyFill="1" applyBorder="1" applyAlignment="1" applyProtection="1">
      <alignment horizontal="center" vertical="top"/>
    </xf>
    <xf numFmtId="0" fontId="47" fillId="0" borderId="0" xfId="39" applyFont="1" applyFill="1" applyBorder="1"/>
    <xf numFmtId="0" fontId="47" fillId="0" borderId="0" xfId="39" applyFont="1" applyBorder="1"/>
    <xf numFmtId="0" fontId="74" fillId="0" borderId="37" xfId="39" applyFont="1" applyBorder="1" applyAlignment="1">
      <alignment horizontal="center"/>
    </xf>
    <xf numFmtId="0" fontId="74" fillId="0" borderId="17" xfId="39" applyFont="1" applyBorder="1" applyAlignment="1">
      <alignment vertical="center"/>
    </xf>
    <xf numFmtId="0" fontId="78" fillId="0" borderId="0" xfId="39" applyFont="1" applyBorder="1"/>
    <xf numFmtId="0" fontId="45" fillId="26" borderId="0" xfId="39" applyFont="1" applyFill="1" applyBorder="1" applyAlignment="1">
      <alignment horizontal="left" vertical="center"/>
    </xf>
    <xf numFmtId="0" fontId="45" fillId="26" borderId="16" xfId="39" applyFont="1" applyFill="1" applyBorder="1" applyAlignment="1">
      <alignment horizontal="left" vertical="center"/>
    </xf>
    <xf numFmtId="0" fontId="74" fillId="0" borderId="38" xfId="39" applyFont="1" applyBorder="1" applyAlignment="1">
      <alignment horizontal="center"/>
    </xf>
    <xf numFmtId="0" fontId="47" fillId="0" borderId="14" xfId="39" applyFont="1" applyBorder="1" applyAlignment="1">
      <alignment horizontal="center"/>
    </xf>
    <xf numFmtId="0" fontId="81" fillId="0" borderId="0" xfId="39" applyFont="1" applyFill="1" applyBorder="1" applyAlignment="1">
      <alignment horizontal="left" vertical="center"/>
    </xf>
    <xf numFmtId="0" fontId="19" fillId="0" borderId="0" xfId="39" applyFont="1" applyBorder="1"/>
    <xf numFmtId="0" fontId="19" fillId="0" borderId="0" xfId="39" applyFont="1" applyFill="1" applyBorder="1" applyAlignment="1">
      <alignment horizontal="left" vertical="center"/>
    </xf>
    <xf numFmtId="0" fontId="85" fillId="0" borderId="0" xfId="39" applyFont="1" applyBorder="1" applyAlignment="1"/>
    <xf numFmtId="1" fontId="20" fillId="0" borderId="11" xfId="0" applyNumberFormat="1" applyFont="1" applyBorder="1" applyAlignment="1">
      <alignment horizontal="left"/>
    </xf>
    <xf numFmtId="1" fontId="20" fillId="0" borderId="17" xfId="0" applyNumberFormat="1" applyFont="1" applyBorder="1" applyAlignment="1">
      <alignment horizontal="left"/>
    </xf>
    <xf numFmtId="1" fontId="15" fillId="0" borderId="17" xfId="0" applyNumberFormat="1" applyFont="1" applyBorder="1" applyAlignment="1">
      <alignment horizontal="left"/>
    </xf>
    <xf numFmtId="2" fontId="0" fillId="0" borderId="12" xfId="0" applyNumberFormat="1" applyBorder="1"/>
    <xf numFmtId="0" fontId="75" fillId="0" borderId="0" xfId="39" quotePrefix="1" applyFont="1" applyBorder="1" applyAlignment="1">
      <alignment horizontal="center"/>
    </xf>
    <xf numFmtId="0" fontId="74" fillId="0" borderId="0" xfId="39" applyFont="1" applyBorder="1" applyAlignment="1"/>
    <xf numFmtId="0" fontId="79" fillId="0" borderId="0" xfId="39" applyFont="1" applyBorder="1" applyAlignment="1"/>
    <xf numFmtId="2" fontId="74" fillId="27" borderId="0" xfId="39" applyNumberFormat="1" applyFont="1" applyFill="1" applyBorder="1" applyAlignment="1">
      <alignment horizontal="center" shrinkToFit="1"/>
    </xf>
    <xf numFmtId="1" fontId="20" fillId="0" borderId="10" xfId="0" applyNumberFormat="1" applyFont="1" applyBorder="1" applyAlignment="1">
      <alignment horizontal="left"/>
    </xf>
    <xf numFmtId="0" fontId="19" fillId="0" borderId="0" xfId="40" applyNumberFormat="1" applyFont="1" applyFill="1" applyBorder="1" applyAlignment="1" applyProtection="1">
      <alignment vertical="top"/>
    </xf>
    <xf numFmtId="0" fontId="19" fillId="0" borderId="0" xfId="40" applyNumberFormat="1" applyFont="1" applyFill="1" applyBorder="1" applyAlignment="1" applyProtection="1">
      <alignment horizontal="left" vertical="top"/>
    </xf>
    <xf numFmtId="0" fontId="19" fillId="0" borderId="0"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vertical="top"/>
    </xf>
    <xf numFmtId="0" fontId="19" fillId="0" borderId="36" xfId="40" applyNumberFormat="1" applyFont="1" applyFill="1" applyBorder="1" applyAlignment="1" applyProtection="1">
      <alignment horizontal="left" vertical="top"/>
    </xf>
    <xf numFmtId="0" fontId="19" fillId="0" borderId="36"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left"/>
    </xf>
    <xf numFmtId="0" fontId="19" fillId="0" borderId="17"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top"/>
    </xf>
    <xf numFmtId="0" fontId="19" fillId="0" borderId="32"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left" vertical="center"/>
    </xf>
    <xf numFmtId="0" fontId="19" fillId="0" borderId="18"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center"/>
    </xf>
    <xf numFmtId="0" fontId="19" fillId="0" borderId="17"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vertical="top"/>
    </xf>
    <xf numFmtId="0" fontId="19" fillId="0" borderId="38"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xf>
    <xf numFmtId="0" fontId="20" fillId="0" borderId="0"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left" vertical="top"/>
    </xf>
    <xf numFmtId="0" fontId="47" fillId="0" borderId="0" xfId="39" applyFont="1" applyBorder="1" applyAlignment="1">
      <alignment horizontal="center"/>
    </xf>
    <xf numFmtId="0" fontId="82" fillId="0" borderId="0" xfId="39" applyNumberFormat="1" applyFont="1" applyBorder="1" applyAlignment="1">
      <alignment horizontal="center" vertical="center"/>
    </xf>
    <xf numFmtId="0" fontId="47" fillId="0" borderId="0" xfId="39" applyFont="1" applyFill="1" applyBorder="1" applyAlignment="1">
      <alignment horizontal="center" vertical="center"/>
    </xf>
    <xf numFmtId="0" fontId="47" fillId="0" borderId="0" xfId="39" applyFont="1" applyBorder="1" applyAlignment="1">
      <alignment vertical="center"/>
    </xf>
    <xf numFmtId="0" fontId="19" fillId="0" borderId="32"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wrapText="1"/>
    </xf>
    <xf numFmtId="0" fontId="19" fillId="0" borderId="40" xfId="40" applyNumberFormat="1" applyFont="1" applyFill="1" applyBorder="1" applyAlignment="1" applyProtection="1">
      <alignment horizontal="center" vertical="top" wrapText="1"/>
    </xf>
    <xf numFmtId="0" fontId="19" fillId="0" borderId="40" xfId="40" applyNumberFormat="1" applyFont="1" applyFill="1" applyBorder="1" applyAlignment="1" applyProtection="1">
      <alignment horizontal="center"/>
    </xf>
    <xf numFmtId="0" fontId="19" fillId="0" borderId="14" xfId="40" applyNumberFormat="1" applyFont="1" applyFill="1" applyBorder="1" applyAlignment="1" applyProtection="1">
      <alignment horizontal="left"/>
    </xf>
    <xf numFmtId="0" fontId="19" fillId="0" borderId="1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vertical="center"/>
    </xf>
    <xf numFmtId="0" fontId="19" fillId="0" borderId="0" xfId="40" applyNumberFormat="1" applyFont="1" applyFill="1" applyBorder="1" applyAlignment="1" applyProtection="1">
      <alignment horizontal="left"/>
    </xf>
    <xf numFmtId="0" fontId="19" fillId="0" borderId="17" xfId="40" applyNumberFormat="1" applyFont="1" applyFill="1" applyBorder="1" applyAlignment="1" applyProtection="1">
      <alignment horizontal="center" vertical="center"/>
    </xf>
    <xf numFmtId="0" fontId="19" fillId="0" borderId="35" xfId="40" applyNumberFormat="1" applyFont="1" applyFill="1" applyBorder="1" applyAlignment="1" applyProtection="1">
      <alignment horizontal="center" vertical="top"/>
    </xf>
    <xf numFmtId="0" fontId="81" fillId="26" borderId="0" xfId="39" applyFont="1" applyFill="1" applyBorder="1" applyAlignment="1">
      <alignment horizontal="left" vertical="center"/>
    </xf>
    <xf numFmtId="0" fontId="16" fillId="0" borderId="0"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top" wrapText="1"/>
    </xf>
    <xf numFmtId="0" fontId="74" fillId="0" borderId="37" xfId="39" applyFont="1" applyBorder="1" applyAlignment="1"/>
    <xf numFmtId="0" fontId="19" fillId="0" borderId="40" xfId="40" applyNumberFormat="1" applyFont="1" applyFill="1" applyBorder="1" applyAlignment="1" applyProtection="1">
      <alignment horizontal="center" vertical="center"/>
    </xf>
    <xf numFmtId="0" fontId="20" fillId="0" borderId="0" xfId="40" applyNumberFormat="1" applyFont="1" applyFill="1" applyBorder="1" applyAlignment="1" applyProtection="1">
      <alignment horizontal="left"/>
    </xf>
    <xf numFmtId="0" fontId="19" fillId="0" borderId="39" xfId="40" applyNumberFormat="1" applyFont="1" applyFill="1" applyBorder="1" applyAlignment="1" applyProtection="1">
      <alignment horizontal="center"/>
    </xf>
    <xf numFmtId="0" fontId="16" fillId="0" borderId="14" xfId="40" applyNumberFormat="1" applyFont="1" applyFill="1" applyBorder="1" applyAlignment="1" applyProtection="1">
      <alignment horizontal="left" vertical="top"/>
    </xf>
    <xf numFmtId="0" fontId="84" fillId="0" borderId="31" xfId="41" applyNumberFormat="1" applyFont="1" applyFill="1" applyBorder="1" applyAlignment="1" applyProtection="1">
      <alignment horizontal="left" vertical="top"/>
    </xf>
    <xf numFmtId="0" fontId="19" fillId="0" borderId="0" xfId="39" applyFont="1" applyFill="1" applyBorder="1" applyAlignment="1">
      <alignment horizontal="center" vertical="center"/>
    </xf>
    <xf numFmtId="0" fontId="84" fillId="0" borderId="0" xfId="41" applyNumberFormat="1" applyFont="1" applyFill="1" applyBorder="1" applyAlignment="1" applyProtection="1">
      <alignment horizontal="left" vertical="top"/>
    </xf>
    <xf numFmtId="0" fontId="74" fillId="0" borderId="18" xfId="39" applyFont="1" applyBorder="1" applyAlignment="1">
      <alignment horizontal="center" vertical="center"/>
    </xf>
    <xf numFmtId="0" fontId="84" fillId="0" borderId="14" xfId="41" applyNumberFormat="1" applyFont="1" applyFill="1" applyBorder="1" applyAlignment="1" applyProtection="1">
      <alignment horizontal="left" vertical="top"/>
    </xf>
    <xf numFmtId="0" fontId="19" fillId="0" borderId="37" xfId="39" applyFont="1" applyFill="1" applyBorder="1" applyAlignment="1">
      <alignment horizontal="center" vertical="center"/>
    </xf>
    <xf numFmtId="0" fontId="45" fillId="0" borderId="0" xfId="39" applyFont="1" applyFill="1" applyBorder="1" applyAlignment="1">
      <alignment horizontal="center" vertical="center"/>
    </xf>
    <xf numFmtId="0" fontId="19" fillId="0" borderId="37" xfId="39" applyFont="1" applyBorder="1" applyAlignment="1">
      <alignment horizontal="center"/>
    </xf>
    <xf numFmtId="0" fontId="19" fillId="0" borderId="40" xfId="39" applyFont="1" applyFill="1" applyBorder="1" applyAlignment="1">
      <alignment horizontal="center" vertical="center"/>
    </xf>
    <xf numFmtId="0" fontId="76" fillId="0" borderId="37" xfId="39" applyFont="1" applyBorder="1"/>
    <xf numFmtId="0" fontId="16" fillId="0" borderId="37" xfId="40" applyNumberFormat="1" applyFont="1" applyFill="1" applyBorder="1" applyAlignment="1" applyProtection="1">
      <alignment horizontal="left" vertical="top"/>
    </xf>
    <xf numFmtId="0" fontId="14" fillId="0" borderId="31" xfId="40" applyNumberFormat="1" applyFont="1" applyFill="1" applyBorder="1" applyAlignment="1" applyProtection="1">
      <alignment horizontal="left" vertical="top"/>
    </xf>
    <xf numFmtId="1" fontId="20" fillId="0" borderId="35" xfId="0" applyNumberFormat="1" applyFont="1" applyBorder="1" applyAlignment="1">
      <alignment horizontal="left"/>
    </xf>
    <xf numFmtId="0" fontId="19" fillId="0" borderId="15"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vertical="top"/>
    </xf>
    <xf numFmtId="0" fontId="80" fillId="0" borderId="14" xfId="40" applyNumberFormat="1" applyFont="1" applyFill="1" applyBorder="1" applyAlignment="1" applyProtection="1">
      <alignment vertical="top"/>
    </xf>
    <xf numFmtId="0" fontId="19" fillId="0" borderId="18" xfId="40" applyNumberFormat="1" applyFont="1" applyFill="1" applyBorder="1" applyAlignment="1" applyProtection="1">
      <alignment vertical="top"/>
    </xf>
    <xf numFmtId="0" fontId="19" fillId="0" borderId="1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xf>
    <xf numFmtId="0" fontId="19" fillId="0" borderId="32" xfId="40" applyNumberFormat="1" applyFont="1" applyFill="1" applyBorder="1" applyAlignment="1" applyProtection="1">
      <alignment horizontal="left" vertical="center"/>
    </xf>
    <xf numFmtId="0" fontId="19"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9" fillId="0" borderId="11" xfId="40" applyNumberFormat="1" applyFont="1" applyFill="1" applyBorder="1" applyAlignment="1" applyProtection="1">
      <alignment horizontal="left" vertical="top"/>
    </xf>
    <xf numFmtId="0" fontId="16" fillId="0" borderId="18" xfId="40" applyNumberFormat="1" applyFont="1" applyFill="1" applyBorder="1" applyAlignment="1" applyProtection="1">
      <alignment horizontal="left" vertical="top"/>
    </xf>
    <xf numFmtId="0" fontId="16" fillId="0" borderId="11" xfId="40" applyNumberFormat="1" applyFont="1" applyFill="1" applyBorder="1" applyAlignment="1" applyProtection="1">
      <alignment horizontal="left" vertical="top"/>
    </xf>
    <xf numFmtId="0" fontId="47" fillId="0" borderId="16" xfId="39" applyFont="1" applyBorder="1" applyAlignment="1">
      <alignment horizontal="center"/>
    </xf>
    <xf numFmtId="0" fontId="19" fillId="0" borderId="18" xfId="40" applyNumberFormat="1" applyFont="1" applyFill="1" applyBorder="1" applyAlignment="1" applyProtection="1">
      <alignment horizontal="left" vertical="center"/>
    </xf>
    <xf numFmtId="0" fontId="19" fillId="0" borderId="14" xfId="40" applyNumberFormat="1" applyFont="1" applyFill="1" applyBorder="1" applyAlignment="1" applyProtection="1">
      <alignment horizontal="left" vertical="top" wrapText="1"/>
    </xf>
    <xf numFmtId="0" fontId="14" fillId="0" borderId="0" xfId="40" applyNumberFormat="1" applyFont="1" applyFill="1" applyBorder="1" applyAlignment="1" applyProtection="1">
      <alignment vertical="top"/>
    </xf>
    <xf numFmtId="0" fontId="16" fillId="0" borderId="18" xfId="40" applyNumberFormat="1" applyFont="1" applyFill="1" applyBorder="1" applyAlignment="1" applyProtection="1">
      <alignment horizontal="left" vertical="center"/>
    </xf>
    <xf numFmtId="0" fontId="19" fillId="0" borderId="10"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center"/>
    </xf>
    <xf numFmtId="1" fontId="20" fillId="0" borderId="31" xfId="0" applyNumberFormat="1" applyFont="1" applyBorder="1" applyAlignment="1">
      <alignment horizontal="left"/>
    </xf>
    <xf numFmtId="1" fontId="20" fillId="0" borderId="31" xfId="0" applyNumberFormat="1" applyFont="1" applyBorder="1" applyAlignment="1">
      <alignment horizontal="left" vertical="center"/>
    </xf>
    <xf numFmtId="0" fontId="74" fillId="0" borderId="39" xfId="39" applyFont="1" applyBorder="1" applyAlignment="1">
      <alignment vertical="center"/>
    </xf>
    <xf numFmtId="1" fontId="20" fillId="0" borderId="35" xfId="0" applyNumberFormat="1" applyFont="1" applyBorder="1" applyAlignment="1">
      <alignment horizontal="left" vertical="center"/>
    </xf>
    <xf numFmtId="0" fontId="20" fillId="0" borderId="31" xfId="40" applyNumberFormat="1" applyFont="1" applyFill="1" applyBorder="1" applyAlignment="1" applyProtection="1">
      <alignment horizontal="left"/>
    </xf>
    <xf numFmtId="0" fontId="81" fillId="0" borderId="39" xfId="39" applyFont="1" applyFill="1" applyBorder="1" applyAlignment="1">
      <alignment horizontal="left" vertical="center"/>
    </xf>
    <xf numFmtId="0" fontId="74" fillId="0" borderId="11" xfId="39" applyFont="1" applyBorder="1" applyAlignment="1">
      <alignment horizontal="center" vertical="center" textRotation="90"/>
    </xf>
    <xf numFmtId="1" fontId="20" fillId="0" borderId="16" xfId="0" applyNumberFormat="1" applyFont="1" applyBorder="1" applyAlignment="1">
      <alignment horizontal="left"/>
    </xf>
    <xf numFmtId="0" fontId="75" fillId="0" borderId="0" xfId="39" applyFont="1" applyBorder="1" applyAlignment="1">
      <alignment horizontal="left" vertical="center"/>
    </xf>
    <xf numFmtId="0" fontId="75" fillId="0" borderId="10" xfId="39" applyFont="1" applyBorder="1" applyAlignment="1">
      <alignment horizontal="center" vertical="center"/>
    </xf>
    <xf numFmtId="0" fontId="16" fillId="0" borderId="38" xfId="40" applyNumberFormat="1" applyFont="1" applyFill="1" applyBorder="1" applyAlignment="1" applyProtection="1">
      <alignment horizontal="left" vertical="top"/>
    </xf>
    <xf numFmtId="0" fontId="75" fillId="0" borderId="17" xfId="39" applyFont="1" applyBorder="1" applyAlignment="1">
      <alignment horizontal="left" vertical="center"/>
    </xf>
    <xf numFmtId="1" fontId="20" fillId="0" borderId="16" xfId="0" applyNumberFormat="1" applyFont="1" applyBorder="1" applyAlignment="1">
      <alignment horizontal="left" vertical="center"/>
    </xf>
    <xf numFmtId="0" fontId="75" fillId="0" borderId="31" xfId="39" applyFont="1" applyBorder="1" applyAlignment="1">
      <alignment horizontal="left" vertical="center"/>
    </xf>
    <xf numFmtId="0" fontId="84" fillId="0" borderId="17" xfId="41" applyNumberFormat="1" applyFont="1" applyFill="1" applyBorder="1" applyAlignment="1" applyProtection="1">
      <alignment horizontal="left" vertical="top"/>
    </xf>
    <xf numFmtId="0" fontId="19" fillId="0" borderId="36" xfId="39" applyFont="1" applyFill="1" applyBorder="1" applyAlignment="1">
      <alignment horizontal="center" vertical="center"/>
    </xf>
    <xf numFmtId="0" fontId="16" fillId="0" borderId="39" xfId="40" applyNumberFormat="1" applyFont="1" applyFill="1" applyBorder="1" applyAlignment="1" applyProtection="1">
      <alignment horizontal="left" vertical="top"/>
    </xf>
    <xf numFmtId="0" fontId="19" fillId="0" borderId="17" xfId="39" applyFont="1" applyBorder="1" applyAlignment="1">
      <alignment horizontal="center"/>
    </xf>
    <xf numFmtId="0" fontId="19" fillId="0" borderId="31" xfId="39" applyFont="1" applyBorder="1"/>
    <xf numFmtId="0" fontId="19" fillId="0" borderId="39" xfId="39" applyFont="1" applyBorder="1" applyAlignment="1">
      <alignment horizontal="center"/>
    </xf>
    <xf numFmtId="0" fontId="80" fillId="0" borderId="18" xfId="40" applyNumberFormat="1" applyFont="1" applyFill="1" applyBorder="1" applyAlignment="1" applyProtection="1">
      <alignment horizontal="left" vertical="top"/>
    </xf>
    <xf numFmtId="0" fontId="19" fillId="0" borderId="17" xfId="39" applyFont="1" applyBorder="1" applyAlignment="1">
      <alignment horizontal="center" vertical="center"/>
    </xf>
    <xf numFmtId="0" fontId="20" fillId="0" borderId="17" xfId="39" applyFont="1" applyBorder="1" applyAlignment="1">
      <alignment horizontal="left" vertical="center"/>
    </xf>
    <xf numFmtId="0" fontId="19" fillId="0" borderId="37" xfId="39" applyFont="1" applyBorder="1" applyAlignment="1">
      <alignment horizontal="center" vertical="center"/>
    </xf>
    <xf numFmtId="1" fontId="15" fillId="0" borderId="31" xfId="0" applyNumberFormat="1" applyFont="1" applyBorder="1" applyAlignment="1">
      <alignment horizontal="left"/>
    </xf>
    <xf numFmtId="0" fontId="74" fillId="0" borderId="16" xfId="39" applyFont="1" applyBorder="1" applyAlignment="1"/>
    <xf numFmtId="1" fontId="15" fillId="0" borderId="17" xfId="0" applyNumberFormat="1" applyFont="1" applyBorder="1" applyAlignment="1">
      <alignment horizontal="left" vertical="center"/>
    </xf>
    <xf numFmtId="2" fontId="74" fillId="27" borderId="16" xfId="39" applyNumberFormat="1" applyFont="1" applyFill="1" applyBorder="1" applyAlignment="1">
      <alignment horizontal="center" shrinkToFit="1"/>
    </xf>
    <xf numFmtId="0" fontId="85" fillId="0" borderId="16" xfId="39" applyFont="1" applyBorder="1" applyAlignment="1"/>
    <xf numFmtId="0" fontId="79" fillId="0" borderId="16" xfId="39" applyFont="1" applyBorder="1" applyAlignment="1"/>
    <xf numFmtId="0" fontId="84" fillId="0" borderId="16" xfId="41" applyNumberFormat="1" applyFont="1" applyFill="1" applyBorder="1" applyAlignment="1" applyProtection="1">
      <alignment horizontal="left" vertical="top"/>
    </xf>
    <xf numFmtId="0" fontId="31" fillId="0" borderId="37" xfId="40" applyNumberFormat="1" applyFont="1" applyFill="1" applyBorder="1" applyAlignment="1" applyProtection="1">
      <alignment horizontal="left" vertical="top"/>
    </xf>
    <xf numFmtId="0" fontId="41" fillId="0" borderId="37" xfId="40" applyNumberFormat="1" applyFont="1" applyFill="1" applyBorder="1" applyAlignment="1" applyProtection="1">
      <alignment horizontal="left" vertical="top"/>
    </xf>
    <xf numFmtId="0" fontId="8" fillId="0" borderId="38" xfId="40" applyNumberFormat="1" applyFont="1" applyFill="1" applyBorder="1" applyAlignment="1" applyProtection="1">
      <alignment horizontal="left" vertical="top"/>
    </xf>
    <xf numFmtId="0" fontId="41" fillId="0" borderId="39" xfId="40" applyNumberFormat="1" applyFont="1" applyFill="1" applyBorder="1" applyAlignment="1" applyProtection="1">
      <alignment horizontal="left" vertical="top"/>
    </xf>
    <xf numFmtId="0" fontId="75" fillId="0" borderId="17" xfId="39" applyFont="1" applyBorder="1" applyAlignment="1">
      <alignment horizontal="left"/>
    </xf>
    <xf numFmtId="1" fontId="15" fillId="0" borderId="31" xfId="0" applyNumberFormat="1" applyFont="1" applyBorder="1" applyAlignment="1">
      <alignment horizontal="left" vertical="center"/>
    </xf>
    <xf numFmtId="1" fontId="20" fillId="0" borderId="11" xfId="0" applyNumberFormat="1" applyFont="1" applyBorder="1" applyAlignment="1">
      <alignment horizontal="left" vertical="center"/>
    </xf>
    <xf numFmtId="1" fontId="20" fillId="0" borderId="17" xfId="0" applyNumberFormat="1" applyFont="1" applyBorder="1" applyAlignment="1">
      <alignment horizontal="left" vertical="center"/>
    </xf>
    <xf numFmtId="0" fontId="19" fillId="0" borderId="39" xfId="40" applyNumberFormat="1" applyFont="1" applyFill="1" applyBorder="1" applyAlignment="1" applyProtection="1">
      <alignment horizontal="center" wrapText="1"/>
    </xf>
    <xf numFmtId="0" fontId="21" fillId="0" borderId="15" xfId="40" applyNumberFormat="1" applyFont="1" applyFill="1" applyBorder="1" applyAlignment="1" applyProtection="1">
      <alignment horizontal="left" vertical="center"/>
    </xf>
    <xf numFmtId="0" fontId="21" fillId="0" borderId="37" xfId="40" applyNumberFormat="1" applyFont="1" applyFill="1" applyBorder="1" applyAlignment="1" applyProtection="1">
      <alignment horizontal="left" vertical="top"/>
    </xf>
    <xf numFmtId="0" fontId="74" fillId="0" borderId="31" xfId="39" applyFont="1" applyBorder="1" applyAlignment="1">
      <alignment horizontal="right"/>
    </xf>
    <xf numFmtId="0" fontId="47" fillId="0" borderId="0" xfId="0" applyFont="1" applyAlignment="1">
      <alignment horizontal="center"/>
    </xf>
    <xf numFmtId="0" fontId="89" fillId="0" borderId="0" xfId="0" applyFont="1"/>
    <xf numFmtId="0" fontId="90" fillId="0" borderId="0" xfId="39" applyFont="1" applyBorder="1"/>
    <xf numFmtId="0" fontId="86" fillId="0" borderId="15" xfId="40" applyNumberFormat="1" applyFont="1" applyFill="1" applyBorder="1" applyAlignment="1" applyProtection="1">
      <alignment vertical="top"/>
    </xf>
    <xf numFmtId="0" fontId="86" fillId="0" borderId="15" xfId="40" applyNumberFormat="1" applyFont="1" applyFill="1" applyBorder="1" applyAlignment="1" applyProtection="1">
      <alignment horizontal="left" vertical="top"/>
    </xf>
    <xf numFmtId="0" fontId="86" fillId="0" borderId="38"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xf>
    <xf numFmtId="0" fontId="86" fillId="0" borderId="39" xfId="40" applyNumberFormat="1" applyFont="1" applyFill="1" applyBorder="1" applyAlignment="1" applyProtection="1">
      <alignment horizontal="left"/>
    </xf>
    <xf numFmtId="0" fontId="86" fillId="0" borderId="32" xfId="40" applyNumberFormat="1" applyFont="1" applyFill="1" applyBorder="1" applyAlignment="1" applyProtection="1">
      <alignment horizontal="left" vertical="center"/>
    </xf>
    <xf numFmtId="0" fontId="86" fillId="0" borderId="0" xfId="40" applyNumberFormat="1" applyFont="1" applyFill="1" applyBorder="1" applyAlignment="1" applyProtection="1">
      <alignment horizontal="left" vertical="top"/>
    </xf>
    <xf numFmtId="0" fontId="86" fillId="0" borderId="0" xfId="40" applyNumberFormat="1" applyFont="1" applyFill="1" applyBorder="1" applyAlignment="1" applyProtection="1">
      <alignment horizontal="left"/>
    </xf>
    <xf numFmtId="0" fontId="86" fillId="0" borderId="31" xfId="40" applyNumberFormat="1" applyFont="1" applyFill="1" applyBorder="1" applyAlignment="1" applyProtection="1">
      <alignment horizontal="left" vertical="top"/>
    </xf>
    <xf numFmtId="0" fontId="86" fillId="0" borderId="18" xfId="40" applyNumberFormat="1" applyFont="1" applyFill="1" applyBorder="1" applyAlignment="1" applyProtection="1">
      <alignment horizontal="left" vertical="top"/>
    </xf>
    <xf numFmtId="0" fontId="86" fillId="0" borderId="40" xfId="40" applyNumberFormat="1" applyFont="1" applyFill="1" applyBorder="1" applyAlignment="1" applyProtection="1">
      <alignment horizontal="left" vertical="top"/>
    </xf>
    <xf numFmtId="0" fontId="86" fillId="0" borderId="32" xfId="40" applyNumberFormat="1" applyFont="1" applyFill="1" applyBorder="1" applyAlignment="1" applyProtection="1">
      <alignment horizontal="left" vertical="top"/>
    </xf>
    <xf numFmtId="0" fontId="91" fillId="0" borderId="18" xfId="40" applyNumberFormat="1" applyFont="1" applyFill="1" applyBorder="1" applyAlignment="1" applyProtection="1">
      <alignment horizontal="left" vertical="top"/>
    </xf>
    <xf numFmtId="0" fontId="19" fillId="0" borderId="0" xfId="40" applyNumberFormat="1" applyFont="1" applyFill="1" applyBorder="1" applyAlignment="1" applyProtection="1"/>
    <xf numFmtId="0" fontId="74" fillId="28" borderId="0" xfId="39" applyFont="1" applyFill="1" applyBorder="1"/>
    <xf numFmtId="0" fontId="19" fillId="28" borderId="0" xfId="40" applyNumberFormat="1" applyFont="1" applyFill="1" applyBorder="1" applyAlignment="1" applyProtection="1">
      <alignment horizontal="left" vertical="top"/>
    </xf>
    <xf numFmtId="0" fontId="74" fillId="28" borderId="0" xfId="39" applyFont="1" applyFill="1" applyBorder="1" applyAlignment="1">
      <alignment horizontal="center"/>
    </xf>
    <xf numFmtId="0" fontId="55" fillId="0" borderId="0" xfId="39" applyFont="1" applyBorder="1"/>
    <xf numFmtId="0" fontId="54" fillId="0" borderId="0" xfId="39" applyFont="1" applyBorder="1"/>
    <xf numFmtId="0" fontId="74" fillId="24" borderId="0" xfId="39" applyFont="1" applyFill="1" applyBorder="1"/>
    <xf numFmtId="0" fontId="86" fillId="0" borderId="0" xfId="39" applyFont="1" applyBorder="1"/>
    <xf numFmtId="0" fontId="74" fillId="24" borderId="27" xfId="39" applyFont="1" applyFill="1" applyBorder="1"/>
    <xf numFmtId="0" fontId="74" fillId="0" borderId="27" xfId="39" applyFont="1" applyBorder="1"/>
    <xf numFmtId="0" fontId="74" fillId="0" borderId="27" xfId="39" applyFont="1" applyBorder="1" applyAlignment="1">
      <alignment horizontal="center"/>
    </xf>
    <xf numFmtId="0" fontId="86" fillId="0" borderId="27" xfId="39" applyFont="1" applyBorder="1"/>
    <xf numFmtId="0" fontId="55" fillId="0" borderId="20" xfId="40" applyNumberFormat="1" applyFont="1" applyFill="1" applyBorder="1" applyAlignment="1" applyProtection="1"/>
    <xf numFmtId="0" fontId="74" fillId="0" borderId="28" xfId="39" applyFont="1" applyBorder="1"/>
    <xf numFmtId="0" fontId="19" fillId="0" borderId="28" xfId="40" applyNumberFormat="1" applyFont="1" applyFill="1" applyBorder="1" applyAlignment="1" applyProtection="1"/>
    <xf numFmtId="0" fontId="74" fillId="0" borderId="41" xfId="39" applyFont="1" applyBorder="1"/>
    <xf numFmtId="0" fontId="55" fillId="0" borderId="22" xfId="40" applyNumberFormat="1" applyFont="1" applyFill="1" applyBorder="1" applyAlignment="1" applyProtection="1">
      <alignment horizontal="left"/>
    </xf>
    <xf numFmtId="0" fontId="74" fillId="0" borderId="23" xfId="39" applyFont="1" applyBorder="1"/>
    <xf numFmtId="0" fontId="54" fillId="0" borderId="22" xfId="40" applyNumberFormat="1" applyFont="1" applyFill="1" applyBorder="1" applyAlignment="1" applyProtection="1">
      <alignment horizontal="left"/>
    </xf>
    <xf numFmtId="0" fontId="55" fillId="0" borderId="22" xfId="39" applyFont="1" applyBorder="1"/>
    <xf numFmtId="0" fontId="74" fillId="0" borderId="22" xfId="39" applyFont="1" applyBorder="1"/>
    <xf numFmtId="0" fontId="74" fillId="0" borderId="30" xfId="39" applyFont="1" applyBorder="1"/>
    <xf numFmtId="0" fontId="74" fillId="0" borderId="42" xfId="39" applyFont="1" applyBorder="1"/>
    <xf numFmtId="0" fontId="55" fillId="0" borderId="20" xfId="39" applyFont="1" applyBorder="1"/>
    <xf numFmtId="0" fontId="74" fillId="0" borderId="28" xfId="39" applyFont="1" applyBorder="1" applyAlignment="1">
      <alignment horizontal="center"/>
    </xf>
    <xf numFmtId="0" fontId="87" fillId="24" borderId="20" xfId="0" applyFont="1" applyFill="1" applyBorder="1" applyAlignment="1">
      <alignment horizontal="left"/>
    </xf>
    <xf numFmtId="0" fontId="74" fillId="24" borderId="28" xfId="39" applyFont="1" applyFill="1" applyBorder="1"/>
    <xf numFmtId="0" fontId="8" fillId="24" borderId="28" xfId="0" applyFont="1" applyFill="1" applyBorder="1" applyAlignment="1">
      <alignment horizontal="left"/>
    </xf>
    <xf numFmtId="0" fontId="26" fillId="24" borderId="28" xfId="0" applyFont="1" applyFill="1" applyBorder="1" applyAlignment="1">
      <alignment horizontal="left"/>
    </xf>
    <xf numFmtId="0" fontId="44" fillId="24" borderId="22" xfId="0" applyFont="1" applyFill="1" applyBorder="1" applyAlignment="1">
      <alignment horizontal="left"/>
    </xf>
    <xf numFmtId="0" fontId="8" fillId="24" borderId="0" xfId="0" applyFont="1" applyFill="1" applyBorder="1" applyAlignment="1">
      <alignment horizontal="left"/>
    </xf>
    <xf numFmtId="0" fontId="19" fillId="24" borderId="0" xfId="0" applyFont="1" applyFill="1" applyBorder="1" applyAlignment="1">
      <alignment horizontal="left"/>
    </xf>
    <xf numFmtId="0" fontId="48" fillId="24" borderId="22" xfId="0" applyFont="1" applyFill="1" applyBorder="1" applyAlignment="1">
      <alignment horizontal="left"/>
    </xf>
    <xf numFmtId="0" fontId="26" fillId="24" borderId="0" xfId="0" applyFont="1" applyFill="1" applyBorder="1" applyAlignment="1">
      <alignment horizontal="left"/>
    </xf>
    <xf numFmtId="0" fontId="19" fillId="0" borderId="27" xfId="40" applyNumberFormat="1" applyFont="1" applyFill="1" applyBorder="1" applyAlignment="1" applyProtection="1">
      <alignment horizontal="left"/>
    </xf>
    <xf numFmtId="0" fontId="93" fillId="0" borderId="0" xfId="39" applyFont="1" applyBorder="1"/>
    <xf numFmtId="0" fontId="92" fillId="0" borderId="0" xfId="39" applyFont="1" applyBorder="1"/>
    <xf numFmtId="0" fontId="78" fillId="0" borderId="23" xfId="39" applyFont="1" applyBorder="1"/>
    <xf numFmtId="0" fontId="78" fillId="0" borderId="42" xfId="39" applyFont="1" applyBorder="1"/>
    <xf numFmtId="0" fontId="55" fillId="0" borderId="22" xfId="40" applyNumberFormat="1" applyFont="1" applyFill="1" applyBorder="1" applyAlignment="1" applyProtection="1"/>
    <xf numFmtId="0" fontId="55" fillId="0" borderId="28" xfId="39" applyFont="1" applyBorder="1"/>
    <xf numFmtId="0" fontId="75" fillId="0" borderId="28" xfId="39" applyFont="1" applyBorder="1"/>
    <xf numFmtId="0" fontId="85" fillId="0" borderId="41" xfId="39" applyFont="1" applyBorder="1"/>
    <xf numFmtId="0" fontId="94" fillId="0" borderId="0" xfId="0" applyFont="1"/>
    <xf numFmtId="0" fontId="95" fillId="25" borderId="0" xfId="0" applyFont="1" applyFill="1" applyBorder="1" applyAlignment="1">
      <alignment horizontal="center"/>
    </xf>
    <xf numFmtId="0" fontId="20" fillId="0" borderId="37" xfId="0" applyFont="1" applyBorder="1" applyAlignment="1">
      <alignment horizontal="center"/>
    </xf>
    <xf numFmtId="0" fontId="20" fillId="0" borderId="0" xfId="0" applyFont="1" applyAlignment="1">
      <alignment horizontal="center"/>
    </xf>
    <xf numFmtId="0" fontId="19" fillId="0" borderId="36" xfId="0" applyFont="1" applyBorder="1" applyAlignment="1">
      <alignment horizontal="right"/>
    </xf>
    <xf numFmtId="0" fontId="19" fillId="0" borderId="39" xfId="0" applyFont="1" applyBorder="1" applyAlignment="1">
      <alignment horizontal="left" wrapText="1"/>
    </xf>
    <xf numFmtId="0" fontId="7" fillId="0" borderId="39" xfId="0" applyFont="1" applyBorder="1"/>
    <xf numFmtId="0" fontId="15" fillId="0" borderId="33" xfId="0" applyFont="1" applyBorder="1" applyAlignment="1">
      <alignment horizontal="left" vertical="top"/>
    </xf>
    <xf numFmtId="0" fontId="7" fillId="0" borderId="33" xfId="0" applyFont="1" applyBorder="1"/>
    <xf numFmtId="0" fontId="7" fillId="0" borderId="13" xfId="0" applyFont="1" applyBorder="1"/>
    <xf numFmtId="0" fontId="7" fillId="0" borderId="0" xfId="0" applyFont="1"/>
    <xf numFmtId="0" fontId="0" fillId="0" borderId="0" xfId="0" applyAlignment="1">
      <alignment wrapText="1"/>
    </xf>
    <xf numFmtId="0" fontId="96" fillId="0" borderId="39" xfId="0" applyFont="1" applyBorder="1" applyAlignment="1">
      <alignment wrapText="1"/>
    </xf>
    <xf numFmtId="0" fontId="0" fillId="0" borderId="0" xfId="0" applyAlignment="1">
      <alignment horizontal="left" wrapText="1" indent="1"/>
    </xf>
    <xf numFmtId="0" fontId="8" fillId="0" borderId="39" xfId="0" applyFont="1" applyBorder="1" applyAlignment="1">
      <alignment horizontal="left" wrapText="1"/>
    </xf>
    <xf numFmtId="0" fontId="8" fillId="0" borderId="39" xfId="0" applyFont="1" applyBorder="1" applyAlignment="1">
      <alignment wrapText="1"/>
    </xf>
    <xf numFmtId="0" fontId="8" fillId="0" borderId="39" xfId="0" applyFont="1" applyBorder="1"/>
    <xf numFmtId="0" fontId="12" fillId="0" borderId="36" xfId="0" applyFont="1" applyBorder="1" applyAlignment="1">
      <alignment horizontal="left" wrapText="1"/>
    </xf>
    <xf numFmtId="0" fontId="8" fillId="0" borderId="39" xfId="0" applyFont="1" applyBorder="1" applyAlignment="1">
      <alignment horizontal="left" wrapText="1" indent="1"/>
    </xf>
    <xf numFmtId="0" fontId="12" fillId="0" borderId="39" xfId="0" applyFont="1" applyBorder="1" applyAlignment="1">
      <alignment wrapText="1"/>
    </xf>
    <xf numFmtId="0" fontId="8" fillId="0" borderId="39" xfId="0" applyFont="1" applyBorder="1" applyAlignment="1">
      <alignment horizontal="left" vertical="top" wrapText="1"/>
    </xf>
    <xf numFmtId="0" fontId="8" fillId="0" borderId="40" xfId="0" applyFont="1" applyBorder="1" applyAlignment="1">
      <alignment wrapText="1"/>
    </xf>
    <xf numFmtId="0" fontId="97" fillId="0" borderId="39" xfId="0" applyFont="1" applyBorder="1" applyAlignment="1">
      <alignment horizontal="left" wrapText="1" indent="1"/>
    </xf>
    <xf numFmtId="0" fontId="98" fillId="0" borderId="39" xfId="39" applyFont="1" applyBorder="1" applyAlignment="1">
      <alignment horizontal="left" indent="1"/>
    </xf>
    <xf numFmtId="0" fontId="99" fillId="0" borderId="39" xfId="0" applyFont="1" applyBorder="1" applyAlignment="1">
      <alignment horizontal="left" wrapText="1" indent="1"/>
    </xf>
    <xf numFmtId="0" fontId="97" fillId="0" borderId="0" xfId="0" applyFont="1" applyAlignment="1">
      <alignment horizontal="left" wrapText="1" indent="1"/>
    </xf>
    <xf numFmtId="0" fontId="87" fillId="0" borderId="0" xfId="0" applyFont="1" applyFill="1" applyBorder="1" applyAlignment="1">
      <alignment horizontal="center"/>
    </xf>
    <xf numFmtId="0" fontId="44" fillId="0" borderId="0" xfId="0" applyFont="1" applyFill="1" applyBorder="1" applyAlignment="1">
      <alignment horizontal="center"/>
    </xf>
    <xf numFmtId="0" fontId="48" fillId="0" borderId="0" xfId="0" applyFont="1" applyFill="1" applyBorder="1" applyAlignment="1">
      <alignment horizontal="center"/>
    </xf>
    <xf numFmtId="0" fontId="19" fillId="0" borderId="0" xfId="0" applyFont="1" applyFill="1" applyBorder="1" applyAlignment="1">
      <alignment horizontal="left"/>
    </xf>
    <xf numFmtId="0" fontId="8" fillId="0" borderId="39" xfId="0" applyFont="1" applyBorder="1" applyAlignment="1">
      <alignment horizontal="right"/>
    </xf>
    <xf numFmtId="0" fontId="5" fillId="0" borderId="39" xfId="0" applyFont="1" applyBorder="1"/>
    <xf numFmtId="0" fontId="8" fillId="0" borderId="15" xfId="0" applyFont="1" applyBorder="1" applyAlignment="1">
      <alignment horizontal="right"/>
    </xf>
    <xf numFmtId="0" fontId="8" fillId="24" borderId="39" xfId="0" applyFont="1" applyFill="1" applyBorder="1" applyAlignment="1">
      <alignment horizontal="right"/>
    </xf>
    <xf numFmtId="0" fontId="8" fillId="24" borderId="15" xfId="0" applyFont="1" applyFill="1" applyBorder="1" applyAlignment="1">
      <alignment horizontal="right"/>
    </xf>
    <xf numFmtId="0" fontId="8" fillId="0" borderId="15" xfId="0" applyFont="1" applyBorder="1"/>
    <xf numFmtId="0" fontId="5" fillId="24" borderId="39" xfId="0" applyFont="1" applyFill="1" applyBorder="1" applyAlignment="1"/>
    <xf numFmtId="167" fontId="5" fillId="24" borderId="39" xfId="0" applyNumberFormat="1" applyFont="1" applyFill="1" applyBorder="1" applyAlignment="1"/>
    <xf numFmtId="0" fontId="5" fillId="0" borderId="39" xfId="0" applyFont="1" applyBorder="1" applyAlignment="1"/>
    <xf numFmtId="0" fontId="8" fillId="25" borderId="39" xfId="0" applyFont="1" applyFill="1" applyBorder="1" applyAlignment="1">
      <alignment horizontal="right"/>
    </xf>
    <xf numFmtId="0" fontId="43" fillId="25" borderId="36" xfId="0" applyFont="1" applyFill="1" applyBorder="1" applyAlignment="1">
      <alignment vertical="top"/>
    </xf>
    <xf numFmtId="0" fontId="7" fillId="25" borderId="39" xfId="0" applyFont="1" applyFill="1" applyBorder="1"/>
    <xf numFmtId="0" fontId="7" fillId="25" borderId="33" xfId="0" applyFont="1" applyFill="1" applyBorder="1"/>
    <xf numFmtId="0" fontId="5" fillId="24" borderId="36" xfId="0" applyFont="1" applyFill="1" applyBorder="1"/>
    <xf numFmtId="0" fontId="5" fillId="24" borderId="39" xfId="0" applyFont="1" applyFill="1" applyBorder="1"/>
    <xf numFmtId="0" fontId="8" fillId="24" borderId="39" xfId="0" applyFont="1" applyFill="1" applyBorder="1"/>
    <xf numFmtId="0" fontId="8" fillId="0" borderId="39" xfId="0" applyFont="1" applyBorder="1" applyAlignment="1">
      <alignment horizontal="left" indent="1"/>
    </xf>
    <xf numFmtId="0" fontId="0" fillId="0" borderId="40" xfId="0" applyBorder="1" applyAlignment="1">
      <alignment horizontal="left" indent="1"/>
    </xf>
    <xf numFmtId="0" fontId="8" fillId="0" borderId="0" xfId="0" applyFont="1" applyBorder="1" applyAlignment="1">
      <alignment horizontal="left" wrapText="1" indent="1"/>
    </xf>
    <xf numFmtId="0" fontId="8" fillId="0" borderId="0" xfId="0" applyFont="1" applyAlignment="1">
      <alignment horizontal="left" wrapText="1" indent="1"/>
    </xf>
    <xf numFmtId="166" fontId="0" fillId="0" borderId="0" xfId="0" applyNumberFormat="1" applyAlignment="1">
      <alignment horizontal="center"/>
    </xf>
    <xf numFmtId="166" fontId="7"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8" fillId="0" borderId="50" xfId="0" applyFont="1" applyBorder="1" applyAlignment="1">
      <alignment horizontal="left"/>
    </xf>
    <xf numFmtId="0" fontId="0" fillId="0" borderId="51" xfId="0" applyBorder="1" applyAlignment="1">
      <alignment horizontal="left" indent="2"/>
    </xf>
    <xf numFmtId="0" fontId="43" fillId="0" borderId="39" xfId="0" applyFont="1" applyBorder="1" applyAlignment="1">
      <alignment horizontal="left" wrapText="1" indent="1"/>
    </xf>
    <xf numFmtId="0" fontId="18" fillId="0" borderId="0" xfId="0" applyFont="1" applyBorder="1" applyAlignment="1">
      <alignment horizontal="left" wrapText="1" indent="1"/>
    </xf>
    <xf numFmtId="1" fontId="95" fillId="0" borderId="0" xfId="0" applyNumberFormat="1" applyFont="1" applyFill="1" applyBorder="1" applyAlignment="1">
      <alignment horizontal="left" shrinkToFit="1"/>
    </xf>
    <xf numFmtId="1" fontId="101" fillId="0" borderId="0" xfId="0" applyNumberFormat="1" applyFont="1" applyFill="1" applyBorder="1" applyAlignment="1">
      <alignment horizontal="left" shrinkToFit="1"/>
    </xf>
    <xf numFmtId="2" fontId="86" fillId="0" borderId="0" xfId="0" applyNumberFormat="1" applyFont="1" applyAlignment="1">
      <alignment horizontal="left" indent="1"/>
    </xf>
    <xf numFmtId="0" fontId="94" fillId="0" borderId="0" xfId="0" applyFont="1" applyAlignment="1">
      <alignment horizontal="left"/>
    </xf>
    <xf numFmtId="17" fontId="16" fillId="0" borderId="0" xfId="0" applyNumberFormat="1" applyFont="1" applyAlignment="1">
      <alignment horizontal="left" indent="1"/>
    </xf>
    <xf numFmtId="0" fontId="41" fillId="0" borderId="0" xfId="0" applyFont="1" applyFill="1"/>
    <xf numFmtId="0" fontId="10" fillId="0" borderId="0" xfId="0" applyFont="1" applyFill="1" applyBorder="1" applyAlignment="1">
      <alignment horizontal="left"/>
    </xf>
    <xf numFmtId="49" fontId="16" fillId="0" borderId="0" xfId="0" applyNumberFormat="1" applyFont="1" applyAlignment="1">
      <alignment horizontal="center"/>
    </xf>
    <xf numFmtId="2" fontId="0" fillId="24" borderId="0" xfId="0" applyNumberFormat="1" applyFill="1"/>
    <xf numFmtId="0" fontId="102" fillId="0" borderId="0" xfId="0" applyFont="1"/>
    <xf numFmtId="0" fontId="0" fillId="24" borderId="0" xfId="0" applyFill="1"/>
    <xf numFmtId="0" fontId="18" fillId="0" borderId="0" xfId="0" applyFont="1" applyBorder="1"/>
    <xf numFmtId="14" fontId="0" fillId="0" borderId="0" xfId="0" applyNumberFormat="1" applyFill="1" applyBorder="1" applyAlignment="1">
      <alignment horizontal="center"/>
    </xf>
    <xf numFmtId="0" fontId="18" fillId="0" borderId="0" xfId="0" applyFont="1" applyAlignment="1">
      <alignment horizontal="center"/>
    </xf>
    <xf numFmtId="49" fontId="44" fillId="0" borderId="0" xfId="0" applyNumberFormat="1" applyFont="1" applyFill="1" applyAlignment="1">
      <alignment horizontal="left" indent="1"/>
    </xf>
    <xf numFmtId="2" fontId="44" fillId="0" borderId="0" xfId="0" applyNumberFormat="1" applyFont="1" applyFill="1" applyAlignment="1">
      <alignment horizontal="left" indent="1"/>
    </xf>
    <xf numFmtId="2" fontId="86" fillId="0" borderId="0" xfId="0" applyNumberFormat="1" applyFont="1" applyFill="1" applyBorder="1" applyAlignment="1">
      <alignment horizontal="left" indent="1"/>
    </xf>
    <xf numFmtId="2" fontId="18" fillId="0" borderId="0" xfId="0" applyNumberFormat="1" applyFont="1" applyAlignment="1">
      <alignment horizontal="left"/>
    </xf>
    <xf numFmtId="17" fontId="16" fillId="27" borderId="0" xfId="0" applyNumberFormat="1" applyFont="1" applyFill="1" applyAlignment="1">
      <alignment horizontal="left" indent="1"/>
    </xf>
    <xf numFmtId="0" fontId="103" fillId="0" borderId="0" xfId="0" applyFont="1" applyBorder="1"/>
    <xf numFmtId="0" fontId="104" fillId="0" borderId="0" xfId="0" applyFont="1" applyBorder="1"/>
    <xf numFmtId="1" fontId="105" fillId="24" borderId="0" xfId="0" applyNumberFormat="1" applyFont="1" applyFill="1" applyBorder="1"/>
    <xf numFmtId="0" fontId="105" fillId="24" borderId="0" xfId="0" applyFont="1" applyFill="1" applyBorder="1"/>
    <xf numFmtId="0" fontId="107" fillId="0" borderId="0" xfId="0" applyFont="1" applyBorder="1"/>
    <xf numFmtId="0" fontId="107" fillId="0" borderId="0" xfId="0" applyFont="1"/>
    <xf numFmtId="0" fontId="106" fillId="0" borderId="30" xfId="0" applyFont="1" applyBorder="1" applyAlignment="1">
      <alignment shrinkToFit="1"/>
    </xf>
    <xf numFmtId="0" fontId="105" fillId="0" borderId="0" xfId="0" applyFont="1" applyBorder="1"/>
    <xf numFmtId="0" fontId="105" fillId="0" borderId="0" xfId="0" applyFont="1"/>
    <xf numFmtId="1" fontId="106" fillId="0" borderId="20" xfId="0" applyNumberFormat="1" applyFont="1" applyBorder="1" applyAlignment="1" applyProtection="1">
      <alignment shrinkToFit="1"/>
    </xf>
    <xf numFmtId="0" fontId="109" fillId="0" borderId="28" xfId="0" applyFont="1" applyBorder="1"/>
    <xf numFmtId="0" fontId="105" fillId="0" borderId="28" xfId="0" applyFont="1" applyBorder="1"/>
    <xf numFmtId="0" fontId="106" fillId="0" borderId="22" xfId="0" applyFont="1" applyBorder="1" applyAlignment="1">
      <alignment shrinkToFit="1"/>
    </xf>
    <xf numFmtId="0" fontId="109" fillId="0" borderId="0" xfId="0" applyFont="1" applyBorder="1"/>
    <xf numFmtId="0" fontId="103" fillId="0" borderId="0" xfId="0" applyFont="1" applyBorder="1" applyAlignment="1">
      <alignment horizontal="left"/>
    </xf>
    <xf numFmtId="0" fontId="105" fillId="0" borderId="0" xfId="0" applyFont="1" applyFill="1" applyBorder="1"/>
    <xf numFmtId="1" fontId="110" fillId="0" borderId="0" xfId="0" applyNumberFormat="1" applyFont="1" applyBorder="1"/>
    <xf numFmtId="1" fontId="105" fillId="0" borderId="14" xfId="0" applyNumberFormat="1" applyFont="1" applyBorder="1"/>
    <xf numFmtId="0" fontId="109" fillId="0" borderId="0" xfId="0" applyFont="1" applyFill="1" applyBorder="1"/>
    <xf numFmtId="0" fontId="105" fillId="0" borderId="0" xfId="0" applyFont="1" applyBorder="1" applyAlignment="1">
      <alignment horizontal="left"/>
    </xf>
    <xf numFmtId="0" fontId="105" fillId="0" borderId="0" xfId="0" applyFont="1" applyBorder="1" applyAlignment="1">
      <alignment horizontal="center"/>
    </xf>
    <xf numFmtId="0" fontId="104" fillId="0" borderId="0" xfId="0" applyFont="1" applyFill="1" applyBorder="1"/>
    <xf numFmtId="1" fontId="110" fillId="0" borderId="0" xfId="0" applyNumberFormat="1" applyFont="1" applyFill="1" applyBorder="1"/>
    <xf numFmtId="0" fontId="106" fillId="0" borderId="0" xfId="0" applyFont="1" applyBorder="1"/>
    <xf numFmtId="0" fontId="106" fillId="0" borderId="0" xfId="0" applyFont="1" applyBorder="1" applyAlignment="1">
      <alignment horizontal="left" indent="1"/>
    </xf>
    <xf numFmtId="0" fontId="113" fillId="0" borderId="0" xfId="0" applyFont="1" applyBorder="1" applyAlignment="1">
      <alignment horizontal="left"/>
    </xf>
    <xf numFmtId="0" fontId="113" fillId="0" borderId="0" xfId="0" applyFont="1" applyBorder="1"/>
    <xf numFmtId="0" fontId="114" fillId="0" borderId="0" xfId="0" applyFont="1" applyBorder="1"/>
    <xf numFmtId="0" fontId="106" fillId="0" borderId="0" xfId="0" applyFont="1" applyBorder="1" applyAlignment="1">
      <alignment horizontal="left"/>
    </xf>
    <xf numFmtId="1" fontId="105" fillId="0" borderId="0" xfId="0" applyNumberFormat="1" applyFont="1" applyFill="1" applyBorder="1"/>
    <xf numFmtId="0" fontId="103" fillId="24" borderId="0" xfId="0" applyFont="1" applyFill="1" applyBorder="1" applyAlignment="1">
      <alignment horizontal="right"/>
    </xf>
    <xf numFmtId="0" fontId="115" fillId="0" borderId="0" xfId="0" applyFont="1" applyBorder="1"/>
    <xf numFmtId="0" fontId="106" fillId="0" borderId="0" xfId="0" applyFont="1" applyBorder="1" applyAlignment="1">
      <alignment horizontal="right"/>
    </xf>
    <xf numFmtId="0" fontId="103" fillId="0" borderId="0" xfId="0" applyFont="1" applyFill="1" applyBorder="1" applyAlignment="1">
      <alignment horizontal="right"/>
    </xf>
    <xf numFmtId="0" fontId="106" fillId="24" borderId="0" xfId="0" applyFont="1" applyFill="1" applyBorder="1" applyAlignment="1">
      <alignment horizontal="right"/>
    </xf>
    <xf numFmtId="0" fontId="112" fillId="0" borderId="12" xfId="0" applyFont="1" applyBorder="1" applyAlignment="1">
      <alignment horizontal="right"/>
    </xf>
    <xf numFmtId="0" fontId="112" fillId="0" borderId="0" xfId="0" applyFont="1" applyBorder="1" applyAlignment="1">
      <alignment horizontal="right"/>
    </xf>
    <xf numFmtId="0" fontId="116" fillId="0" borderId="0" xfId="0" applyFont="1" applyBorder="1"/>
    <xf numFmtId="0" fontId="117" fillId="0" borderId="0" xfId="0" applyFont="1" applyBorder="1"/>
    <xf numFmtId="1" fontId="105" fillId="25" borderId="0" xfId="0" applyNumberFormat="1" applyFont="1" applyFill="1" applyBorder="1"/>
    <xf numFmtId="0" fontId="110" fillId="0" borderId="31" xfId="0" applyFont="1" applyBorder="1"/>
    <xf numFmtId="0" fontId="112" fillId="0" borderId="0" xfId="0" applyFont="1" applyBorder="1"/>
    <xf numFmtId="0" fontId="110" fillId="0" borderId="0" xfId="0" applyFont="1" applyBorder="1"/>
    <xf numFmtId="0" fontId="110" fillId="0" borderId="0" xfId="0" applyFont="1" applyBorder="1" applyAlignment="1">
      <alignment vertical="center"/>
    </xf>
    <xf numFmtId="1" fontId="104" fillId="0" borderId="0" xfId="0" applyNumberFormat="1" applyFont="1" applyBorder="1" applyAlignment="1">
      <alignment horizontal="left"/>
    </xf>
    <xf numFmtId="0" fontId="104" fillId="0" borderId="0" xfId="0" applyFont="1" applyFill="1" applyBorder="1" applyAlignment="1">
      <alignment horizontal="left"/>
    </xf>
    <xf numFmtId="0" fontId="112" fillId="0" borderId="0" xfId="0" applyFont="1" applyBorder="1" applyAlignment="1">
      <alignment horizontal="center"/>
    </xf>
    <xf numFmtId="1" fontId="105" fillId="0" borderId="0" xfId="0" applyNumberFormat="1" applyFont="1" applyBorder="1"/>
    <xf numFmtId="0" fontId="118" fillId="0" borderId="0" xfId="0" applyFont="1" applyBorder="1" applyAlignment="1">
      <alignment horizontal="right"/>
    </xf>
    <xf numFmtId="9" fontId="103" fillId="0" borderId="0" xfId="0" applyNumberFormat="1" applyFont="1" applyBorder="1" applyAlignment="1">
      <alignment horizontal="center"/>
    </xf>
    <xf numFmtId="0" fontId="104" fillId="0" borderId="0" xfId="0" applyFont="1" applyBorder="1" applyAlignment="1">
      <alignment horizontal="left"/>
    </xf>
    <xf numFmtId="0" fontId="114" fillId="0" borderId="0" xfId="0" applyFont="1" applyBorder="1" applyAlignment="1">
      <alignment horizontal="left"/>
    </xf>
    <xf numFmtId="0" fontId="106" fillId="0" borderId="0" xfId="0" applyFont="1" applyBorder="1" applyAlignment="1">
      <alignment shrinkToFit="1"/>
    </xf>
    <xf numFmtId="1" fontId="103" fillId="25" borderId="14" xfId="0" applyNumberFormat="1" applyFont="1" applyFill="1" applyBorder="1"/>
    <xf numFmtId="0" fontId="105" fillId="29" borderId="0" xfId="0" applyFont="1" applyFill="1" applyBorder="1"/>
    <xf numFmtId="165" fontId="19" fillId="0" borderId="0" xfId="0" applyNumberFormat="1" applyFont="1" applyFill="1" applyBorder="1"/>
    <xf numFmtId="1" fontId="19" fillId="0" borderId="0" xfId="0" applyNumberFormat="1" applyFont="1" applyFill="1" applyBorder="1"/>
    <xf numFmtId="1" fontId="0" fillId="0" borderId="0" xfId="0" applyNumberFormat="1" applyFill="1" applyBorder="1"/>
    <xf numFmtId="1" fontId="121" fillId="0" borderId="0" xfId="0" applyNumberFormat="1" applyFont="1" applyBorder="1" applyAlignment="1">
      <alignment horizontal="center"/>
    </xf>
    <xf numFmtId="1" fontId="33" fillId="31" borderId="0" xfId="0" applyNumberFormat="1" applyFont="1" applyFill="1" applyBorder="1" applyAlignment="1">
      <alignment horizontal="center" shrinkToFit="1"/>
    </xf>
    <xf numFmtId="1" fontId="40" fillId="31" borderId="0" xfId="0" applyNumberFormat="1" applyFont="1" applyFill="1" applyBorder="1" applyAlignment="1">
      <alignment horizontal="center" shrinkToFit="1"/>
    </xf>
    <xf numFmtId="0" fontId="0" fillId="0" borderId="11" xfId="0" applyBorder="1"/>
    <xf numFmtId="0" fontId="120" fillId="0" borderId="41" xfId="0" applyFont="1" applyFill="1" applyBorder="1"/>
    <xf numFmtId="0" fontId="120" fillId="0" borderId="23" xfId="0" applyFont="1" applyFill="1" applyBorder="1"/>
    <xf numFmtId="0" fontId="122" fillId="0" borderId="23" xfId="0" applyFont="1" applyFill="1" applyBorder="1" applyAlignment="1">
      <alignment horizontal="center"/>
    </xf>
    <xf numFmtId="0" fontId="122" fillId="0" borderId="24" xfId="0" applyFont="1" applyFill="1" applyBorder="1" applyAlignment="1">
      <alignment horizontal="center"/>
    </xf>
    <xf numFmtId="0" fontId="122" fillId="0" borderId="24" xfId="0" applyFont="1" applyFill="1" applyBorder="1" applyAlignment="1">
      <alignment horizontal="center" vertical="center"/>
    </xf>
    <xf numFmtId="0" fontId="122" fillId="0" borderId="52" xfId="0" applyFont="1" applyFill="1" applyBorder="1" applyAlignment="1">
      <alignment horizontal="center"/>
    </xf>
    <xf numFmtId="0" fontId="120" fillId="0" borderId="0" xfId="0" applyFont="1" applyFill="1"/>
    <xf numFmtId="0" fontId="105" fillId="0" borderId="27" xfId="0" applyFont="1" applyBorder="1"/>
    <xf numFmtId="0" fontId="122" fillId="0" borderId="42" xfId="0" applyFont="1" applyFill="1" applyBorder="1" applyAlignment="1">
      <alignment horizontal="center"/>
    </xf>
    <xf numFmtId="0" fontId="105" fillId="24" borderId="14" xfId="0" applyFont="1" applyFill="1" applyBorder="1"/>
    <xf numFmtId="1" fontId="105" fillId="0" borderId="31" xfId="0" applyNumberFormat="1" applyFont="1" applyFill="1" applyBorder="1"/>
    <xf numFmtId="1" fontId="105" fillId="0" borderId="27" xfId="0" applyNumberFormat="1" applyFont="1" applyFill="1" applyBorder="1"/>
    <xf numFmtId="1" fontId="110" fillId="0" borderId="15" xfId="0" applyNumberFormat="1" applyFont="1" applyBorder="1"/>
    <xf numFmtId="1" fontId="110" fillId="0" borderId="15" xfId="0" applyNumberFormat="1" applyFont="1" applyFill="1" applyBorder="1"/>
    <xf numFmtId="0" fontId="105" fillId="0" borderId="15" xfId="0" applyFont="1" applyBorder="1"/>
    <xf numFmtId="1" fontId="110" fillId="0" borderId="32" xfId="0" applyNumberFormat="1" applyFont="1" applyBorder="1"/>
    <xf numFmtId="1" fontId="110" fillId="0" borderId="19" xfId="0" applyNumberFormat="1" applyFont="1" applyBorder="1"/>
    <xf numFmtId="0" fontId="103" fillId="0" borderId="15" xfId="0" applyFont="1" applyBorder="1"/>
    <xf numFmtId="1" fontId="110" fillId="0" borderId="15" xfId="0" applyNumberFormat="1" applyFont="1" applyBorder="1" applyAlignment="1">
      <alignment horizontal="right"/>
    </xf>
    <xf numFmtId="1" fontId="105" fillId="0" borderId="15" xfId="0" applyNumberFormat="1" applyFont="1" applyBorder="1" applyAlignment="1">
      <alignment horizontal="right"/>
    </xf>
    <xf numFmtId="1" fontId="110" fillId="0" borderId="15" xfId="0" applyNumberFormat="1" applyFont="1" applyFill="1" applyBorder="1" applyAlignment="1"/>
    <xf numFmtId="1" fontId="110" fillId="0" borderId="15" xfId="0" applyNumberFormat="1" applyFont="1" applyBorder="1" applyAlignment="1"/>
    <xf numFmtId="1" fontId="105" fillId="25" borderId="18" xfId="0" applyNumberFormat="1" applyFont="1" applyFill="1" applyBorder="1" applyAlignment="1"/>
    <xf numFmtId="1" fontId="110" fillId="0" borderId="43" xfId="0" applyNumberFormat="1" applyFont="1" applyBorder="1"/>
    <xf numFmtId="1" fontId="106" fillId="0" borderId="25" xfId="0" applyNumberFormat="1" applyFont="1" applyBorder="1" applyAlignment="1">
      <alignment shrinkToFit="1"/>
    </xf>
    <xf numFmtId="0" fontId="110" fillId="0" borderId="26" xfId="0" applyFont="1" applyBorder="1"/>
    <xf numFmtId="0" fontId="105" fillId="0" borderId="26" xfId="0" applyFont="1" applyBorder="1" applyAlignment="1"/>
    <xf numFmtId="0" fontId="105" fillId="0" borderId="26" xfId="0" applyFont="1" applyBorder="1" applyAlignment="1">
      <alignment horizontal="center"/>
    </xf>
    <xf numFmtId="0" fontId="104" fillId="0" borderId="26" xfId="0" applyFont="1" applyFill="1" applyBorder="1" applyAlignment="1">
      <alignment horizontal="left"/>
    </xf>
    <xf numFmtId="1" fontId="110" fillId="0" borderId="53" xfId="0" applyNumberFormat="1" applyFont="1" applyBorder="1"/>
    <xf numFmtId="0" fontId="122" fillId="0" borderId="54" xfId="0" applyFont="1" applyFill="1" applyBorder="1" applyAlignment="1">
      <alignment horizontal="center"/>
    </xf>
    <xf numFmtId="0" fontId="111" fillId="0" borderId="29" xfId="0" applyFont="1" applyBorder="1" applyAlignment="1">
      <alignment horizontal="center"/>
    </xf>
    <xf numFmtId="0" fontId="0" fillId="0" borderId="14" xfId="0" applyFill="1" applyBorder="1"/>
    <xf numFmtId="1" fontId="7" fillId="0" borderId="31" xfId="0" applyNumberFormat="1" applyFont="1" applyFill="1" applyBorder="1"/>
    <xf numFmtId="1" fontId="7" fillId="0" borderId="0" xfId="0" applyNumberFormat="1" applyFont="1" applyBorder="1"/>
    <xf numFmtId="0" fontId="7" fillId="0" borderId="0" xfId="0" applyFont="1" applyFill="1" applyBorder="1"/>
    <xf numFmtId="0" fontId="10" fillId="0" borderId="32" xfId="0" applyFont="1" applyBorder="1"/>
    <xf numFmtId="1" fontId="37" fillId="0" borderId="15" xfId="0" applyNumberFormat="1" applyFont="1" applyBorder="1"/>
    <xf numFmtId="0" fontId="32" fillId="0" borderId="15" xfId="0" applyFont="1" applyBorder="1"/>
    <xf numFmtId="0" fontId="37" fillId="0" borderId="15" xfId="0" applyFont="1" applyFill="1" applyBorder="1" applyAlignment="1">
      <alignment horizontal="right"/>
    </xf>
    <xf numFmtId="1" fontId="37" fillId="24" borderId="15" xfId="0" applyNumberFormat="1" applyFont="1" applyFill="1" applyBorder="1"/>
    <xf numFmtId="0" fontId="37" fillId="0" borderId="15" xfId="0" applyFont="1" applyFill="1" applyBorder="1"/>
    <xf numFmtId="1" fontId="7" fillId="0" borderId="32" xfId="0" applyNumberFormat="1" applyFont="1" applyBorder="1"/>
    <xf numFmtId="0" fontId="7" fillId="0" borderId="19" xfId="0" applyFont="1" applyBorder="1"/>
    <xf numFmtId="0" fontId="6" fillId="0" borderId="15" xfId="0" applyFont="1" applyBorder="1"/>
    <xf numFmtId="0" fontId="7" fillId="0" borderId="15" xfId="0" applyFont="1" applyBorder="1" applyAlignment="1">
      <alignment horizontal="right"/>
    </xf>
    <xf numFmtId="1" fontId="8" fillId="0" borderId="18" xfId="0" applyNumberFormat="1" applyFont="1" applyBorder="1" applyAlignment="1">
      <alignment horizontal="right"/>
    </xf>
    <xf numFmtId="1" fontId="8" fillId="0" borderId="15" xfId="0" applyNumberFormat="1" applyFont="1" applyBorder="1" applyAlignment="1">
      <alignment horizontal="right"/>
    </xf>
    <xf numFmtId="1" fontId="7" fillId="0" borderId="15" xfId="0" applyNumberFormat="1" applyFont="1" applyBorder="1" applyAlignment="1">
      <alignment horizontal="right"/>
    </xf>
    <xf numFmtId="0" fontId="37" fillId="0" borderId="15" xfId="0" applyFont="1" applyFill="1" applyBorder="1" applyAlignment="1"/>
    <xf numFmtId="0" fontId="7" fillId="0" borderId="15" xfId="0" applyFont="1" applyBorder="1" applyAlignment="1"/>
    <xf numFmtId="0" fontId="7" fillId="24" borderId="18" xfId="0" applyFont="1" applyFill="1" applyBorder="1" applyAlignment="1"/>
    <xf numFmtId="0" fontId="7" fillId="0" borderId="15" xfId="0" applyFont="1" applyFill="1" applyBorder="1" applyAlignment="1"/>
    <xf numFmtId="0" fontId="105" fillId="24" borderId="11" xfId="0" applyFont="1" applyFill="1" applyBorder="1"/>
    <xf numFmtId="0" fontId="103" fillId="0" borderId="0" xfId="0" applyFont="1" applyBorder="1" applyAlignment="1"/>
    <xf numFmtId="0" fontId="122" fillId="0" borderId="0" xfId="0" applyFont="1" applyFill="1" applyBorder="1"/>
    <xf numFmtId="0" fontId="105" fillId="0" borderId="0" xfId="0" applyFont="1" applyBorder="1" applyAlignment="1">
      <alignment horizontal="right"/>
    </xf>
    <xf numFmtId="0" fontId="105" fillId="0" borderId="11" xfId="0" applyFont="1" applyBorder="1" applyAlignment="1">
      <alignment horizontal="right"/>
    </xf>
    <xf numFmtId="0" fontId="105" fillId="0" borderId="18" xfId="0" applyFont="1" applyBorder="1" applyAlignment="1">
      <alignment horizontal="right"/>
    </xf>
    <xf numFmtId="165" fontId="18" fillId="0" borderId="0" xfId="0" applyNumberFormat="1" applyFont="1" applyFill="1" applyBorder="1"/>
    <xf numFmtId="1" fontId="123" fillId="0" borderId="0" xfId="0" applyNumberFormat="1" applyFont="1" applyBorder="1"/>
    <xf numFmtId="1" fontId="0" fillId="24" borderId="0" xfId="0" applyNumberFormat="1" applyFill="1" applyBorder="1"/>
    <xf numFmtId="1" fontId="7" fillId="0" borderId="15" xfId="0" applyNumberFormat="1" applyFont="1" applyBorder="1" applyAlignment="1"/>
    <xf numFmtId="1" fontId="18" fillId="0" borderId="0" xfId="0" applyNumberFormat="1" applyFont="1" applyFill="1" applyBorder="1"/>
    <xf numFmtId="0" fontId="120" fillId="0" borderId="24" xfId="0" applyFont="1" applyFill="1" applyBorder="1"/>
    <xf numFmtId="0" fontId="111" fillId="0" borderId="28" xfId="0" applyFont="1" applyBorder="1" applyAlignment="1">
      <alignment horizontal="right" shrinkToFit="1"/>
    </xf>
    <xf numFmtId="0" fontId="111" fillId="0" borderId="0" xfId="0" applyFont="1" applyBorder="1" applyAlignment="1">
      <alignment horizontal="right" shrinkToFit="1"/>
    </xf>
    <xf numFmtId="1" fontId="112" fillId="0" borderId="0" xfId="0" applyNumberFormat="1" applyFont="1" applyBorder="1" applyAlignment="1">
      <alignment horizontal="right"/>
    </xf>
    <xf numFmtId="0" fontId="105" fillId="0" borderId="14" xfId="0" applyFont="1" applyBorder="1" applyAlignment="1">
      <alignment horizontal="right"/>
    </xf>
    <xf numFmtId="1" fontId="112" fillId="0" borderId="12" xfId="0" applyNumberFormat="1" applyFont="1" applyBorder="1" applyAlignment="1">
      <alignment horizontal="right"/>
    </xf>
    <xf numFmtId="1" fontId="112" fillId="0" borderId="14" xfId="0" applyNumberFormat="1" applyFont="1" applyBorder="1" applyAlignment="1">
      <alignment horizontal="right"/>
    </xf>
    <xf numFmtId="1" fontId="112" fillId="0" borderId="27" xfId="0" applyNumberFormat="1" applyFont="1" applyBorder="1" applyAlignment="1">
      <alignment horizontal="right"/>
    </xf>
    <xf numFmtId="1" fontId="112" fillId="0" borderId="26" xfId="0" applyNumberFormat="1" applyFont="1" applyBorder="1" applyAlignment="1">
      <alignment horizontal="right"/>
    </xf>
    <xf numFmtId="0" fontId="122" fillId="0" borderId="0" xfId="0" applyFont="1" applyBorder="1"/>
    <xf numFmtId="0" fontId="33" fillId="0" borderId="35" xfId="0" applyFont="1" applyBorder="1" applyAlignment="1">
      <alignment shrinkToFit="1"/>
    </xf>
    <xf numFmtId="0" fontId="33" fillId="0" borderId="10" xfId="0" applyFont="1" applyBorder="1" applyAlignment="1">
      <alignment shrinkToFit="1"/>
    </xf>
    <xf numFmtId="0" fontId="38" fillId="0" borderId="10" xfId="0" applyFont="1" applyBorder="1" applyAlignment="1">
      <alignment shrinkToFit="1"/>
    </xf>
    <xf numFmtId="1" fontId="33" fillId="0" borderId="10" xfId="0" applyNumberFormat="1" applyFont="1" applyBorder="1" applyAlignment="1">
      <alignment shrinkToFit="1"/>
    </xf>
    <xf numFmtId="1" fontId="20" fillId="0" borderId="13" xfId="0" applyNumberFormat="1" applyFont="1" applyBorder="1" applyAlignment="1">
      <alignment horizontal="left"/>
    </xf>
    <xf numFmtId="0" fontId="0" fillId="0" borderId="10" xfId="0" applyBorder="1"/>
    <xf numFmtId="1" fontId="20" fillId="0" borderId="10" xfId="0" applyNumberFormat="1" applyFont="1" applyFill="1" applyBorder="1" applyAlignment="1">
      <alignment horizontal="left"/>
    </xf>
    <xf numFmtId="0" fontId="10" fillId="0" borderId="0" xfId="0" applyFont="1" applyBorder="1" applyAlignment="1">
      <alignment horizontal="left" indent="1"/>
    </xf>
    <xf numFmtId="0" fontId="16" fillId="0" borderId="0" xfId="0" applyFont="1" applyBorder="1" applyAlignment="1">
      <alignment horizontal="left" indent="1"/>
    </xf>
    <xf numFmtId="0" fontId="100" fillId="0" borderId="0" xfId="0" applyFont="1"/>
    <xf numFmtId="0" fontId="16" fillId="0" borderId="0" xfId="0" applyFont="1"/>
    <xf numFmtId="0" fontId="128" fillId="0" borderId="0" xfId="0" applyFont="1"/>
    <xf numFmtId="0" fontId="10" fillId="0" borderId="0" xfId="0" applyFont="1" applyBorder="1" applyAlignment="1">
      <alignment horizontal="left" shrinkToFit="1"/>
    </xf>
    <xf numFmtId="0" fontId="18" fillId="0" borderId="0" xfId="0" applyFont="1" applyBorder="1" applyAlignment="1">
      <alignment horizontal="right"/>
    </xf>
    <xf numFmtId="0" fontId="26" fillId="0" borderId="0" xfId="0" applyFont="1"/>
    <xf numFmtId="0" fontId="26" fillId="0" borderId="0" xfId="0" applyFont="1" applyBorder="1"/>
    <xf numFmtId="0" fontId="129" fillId="24" borderId="0" xfId="0" applyFont="1" applyFill="1" applyBorder="1" applyAlignment="1">
      <alignment horizontal="right"/>
    </xf>
    <xf numFmtId="0" fontId="129" fillId="29" borderId="0" xfId="0" applyFont="1" applyFill="1"/>
    <xf numFmtId="0" fontId="26" fillId="0" borderId="12" xfId="0" applyFont="1" applyBorder="1"/>
    <xf numFmtId="0" fontId="0" fillId="0" borderId="12" xfId="0" applyBorder="1" applyAlignment="1"/>
    <xf numFmtId="0" fontId="0" fillId="0" borderId="12" xfId="0" applyBorder="1" applyAlignment="1">
      <alignment horizontal="center"/>
    </xf>
    <xf numFmtId="0" fontId="17" fillId="0" borderId="19" xfId="0" applyFont="1" applyFill="1" applyBorder="1" applyAlignment="1">
      <alignment horizontal="right"/>
    </xf>
    <xf numFmtId="3" fontId="18" fillId="0" borderId="0" xfId="0" applyNumberFormat="1" applyFont="1" applyBorder="1" applyAlignment="1">
      <alignment horizontal="center"/>
    </xf>
    <xf numFmtId="0" fontId="16" fillId="0" borderId="0" xfId="0" applyFont="1" applyBorder="1" applyAlignment="1">
      <alignment shrinkToFit="1"/>
    </xf>
    <xf numFmtId="0" fontId="16" fillId="0" borderId="0" xfId="0" applyFont="1" applyBorder="1" applyAlignment="1">
      <alignment horizontal="right"/>
    </xf>
    <xf numFmtId="0" fontId="16" fillId="0" borderId="0" xfId="0" applyFont="1" applyFill="1"/>
    <xf numFmtId="0" fontId="16" fillId="0" borderId="0" xfId="0" applyFont="1" applyBorder="1" applyAlignment="1">
      <alignment horizontal="center"/>
    </xf>
    <xf numFmtId="0" fontId="126" fillId="0" borderId="0" xfId="0" applyFont="1" applyFill="1" applyAlignment="1">
      <alignment horizontal="left"/>
    </xf>
    <xf numFmtId="0" fontId="26" fillId="0" borderId="0" xfId="0" applyFont="1" applyBorder="1" applyAlignment="1">
      <alignment horizontal="center" shrinkToFit="1"/>
    </xf>
    <xf numFmtId="0" fontId="35" fillId="24" borderId="0" xfId="0" applyFont="1" applyFill="1" applyBorder="1" applyAlignment="1">
      <alignment horizontal="center" shrinkToFit="1"/>
    </xf>
    <xf numFmtId="0" fontId="20" fillId="0" borderId="0" xfId="0" applyFont="1" applyFill="1" applyBorder="1" applyAlignment="1">
      <alignment horizontal="right"/>
    </xf>
    <xf numFmtId="0" fontId="130" fillId="0" borderId="0" xfId="0" applyFont="1" applyFill="1" applyBorder="1" applyAlignment="1">
      <alignment horizontal="right"/>
    </xf>
    <xf numFmtId="0" fontId="30" fillId="0" borderId="32" xfId="0" applyFont="1" applyFill="1" applyBorder="1" applyAlignment="1">
      <alignment shrinkToFit="1"/>
    </xf>
    <xf numFmtId="0" fontId="30" fillId="0" borderId="21" xfId="0" applyFont="1" applyFill="1" applyBorder="1" applyAlignment="1">
      <alignment shrinkToFit="1"/>
    </xf>
    <xf numFmtId="1" fontId="30" fillId="0" borderId="22" xfId="0" applyNumberFormat="1" applyFont="1" applyFill="1" applyBorder="1" applyAlignment="1">
      <alignment shrinkToFit="1"/>
    </xf>
    <xf numFmtId="0" fontId="30" fillId="0" borderId="22" xfId="0" applyFont="1" applyFill="1" applyBorder="1" applyAlignment="1">
      <alignment shrinkToFit="1"/>
    </xf>
    <xf numFmtId="1" fontId="22" fillId="0" borderId="55" xfId="0" applyNumberFormat="1" applyFont="1" applyFill="1" applyBorder="1" applyAlignment="1">
      <alignment shrinkToFit="1"/>
    </xf>
    <xf numFmtId="0" fontId="30" fillId="0" borderId="0" xfId="0" applyFont="1" applyFill="1" applyBorder="1" applyAlignment="1">
      <alignment shrinkToFit="1"/>
    </xf>
    <xf numFmtId="0" fontId="89" fillId="0" borderId="0" xfId="0" applyFont="1" applyFill="1" applyBorder="1" applyAlignment="1">
      <alignment horizontal="center" shrinkToFit="1"/>
    </xf>
    <xf numFmtId="0" fontId="18" fillId="0" borderId="0" xfId="0" applyFont="1" applyBorder="1" applyAlignment="1">
      <alignment horizontal="left"/>
    </xf>
    <xf numFmtId="0" fontId="46" fillId="0" borderId="0" xfId="0" applyFont="1" applyFill="1" applyBorder="1" applyAlignment="1">
      <alignment shrinkToFit="1"/>
    </xf>
    <xf numFmtId="0" fontId="133" fillId="0" borderId="0" xfId="0" applyFont="1" applyFill="1" applyBorder="1" applyAlignment="1">
      <alignment horizontal="center" shrinkToFit="1"/>
    </xf>
    <xf numFmtId="0" fontId="46" fillId="32" borderId="0" xfId="0" applyFont="1" applyFill="1" applyBorder="1" applyAlignment="1">
      <alignment horizontal="center" shrinkToFit="1"/>
    </xf>
    <xf numFmtId="0" fontId="5" fillId="0" borderId="0" xfId="0" applyFont="1" applyFill="1"/>
    <xf numFmtId="1" fontId="137" fillId="0" borderId="0" xfId="0" applyNumberFormat="1" applyFont="1" applyBorder="1" applyAlignment="1">
      <alignment horizontal="center"/>
    </xf>
    <xf numFmtId="0" fontId="104" fillId="0" borderId="0" xfId="0" applyFont="1" applyBorder="1" applyAlignment="1">
      <alignment horizontal="center"/>
    </xf>
    <xf numFmtId="0" fontId="138" fillId="0" borderId="0" xfId="0" applyFont="1" applyBorder="1"/>
    <xf numFmtId="0" fontId="105" fillId="0" borderId="14" xfId="0" applyFont="1" applyFill="1" applyBorder="1"/>
    <xf numFmtId="0" fontId="105" fillId="0" borderId="11" xfId="0" applyFont="1" applyBorder="1"/>
    <xf numFmtId="0" fontId="136" fillId="0" borderId="0" xfId="49" applyFont="1" applyAlignment="1">
      <alignment horizontal="left" indent="1"/>
    </xf>
    <xf numFmtId="0" fontId="105" fillId="0" borderId="0" xfId="49" applyFont="1" applyAlignment="1">
      <alignment horizontal="left"/>
    </xf>
    <xf numFmtId="0" fontId="5" fillId="0" borderId="0" xfId="49"/>
    <xf numFmtId="14" fontId="105" fillId="0" borderId="0" xfId="49" applyNumberFormat="1" applyFont="1" applyAlignment="1">
      <alignment horizontal="left"/>
    </xf>
    <xf numFmtId="0" fontId="5" fillId="0" borderId="0" xfId="49" applyFont="1" applyAlignment="1">
      <alignment horizontal="left" indent="1"/>
    </xf>
    <xf numFmtId="0" fontId="5" fillId="0" borderId="0" xfId="49" applyAlignment="1">
      <alignment horizontal="left" indent="1"/>
    </xf>
    <xf numFmtId="0" fontId="5" fillId="0" borderId="0" xfId="49" applyFont="1" applyAlignment="1">
      <alignment horizontal="left" indent="2"/>
    </xf>
    <xf numFmtId="166" fontId="5" fillId="24" borderId="0" xfId="0" applyNumberFormat="1" applyFont="1" applyFill="1" applyBorder="1" applyAlignment="1">
      <alignment horizontal="center" shrinkToFit="1"/>
    </xf>
    <xf numFmtId="0" fontId="5" fillId="0" borderId="0" xfId="0" applyFont="1" applyBorder="1"/>
    <xf numFmtId="49" fontId="5" fillId="0" borderId="0" xfId="0" applyNumberFormat="1" applyFont="1" applyBorder="1" applyAlignment="1">
      <alignment horizontal="left"/>
    </xf>
    <xf numFmtId="0" fontId="5" fillId="0" borderId="0" xfId="0" applyFont="1" applyBorder="1" applyAlignment="1">
      <alignment horizontal="center"/>
    </xf>
    <xf numFmtId="2" fontId="16" fillId="0" borderId="0" xfId="0" applyNumberFormat="1" applyFont="1" applyBorder="1" applyAlignment="1">
      <alignment horizontal="center"/>
    </xf>
    <xf numFmtId="0" fontId="121" fillId="0" borderId="0" xfId="0" applyFont="1" applyBorder="1" applyAlignment="1">
      <alignment horizontal="center"/>
    </xf>
    <xf numFmtId="0" fontId="127" fillId="0" borderId="0" xfId="0" applyFont="1" applyBorder="1"/>
    <xf numFmtId="1" fontId="18" fillId="0" borderId="0" xfId="0" applyNumberFormat="1" applyFont="1" applyBorder="1"/>
    <xf numFmtId="49" fontId="0" fillId="0" borderId="0" xfId="0" applyNumberFormat="1" applyBorder="1"/>
    <xf numFmtId="0" fontId="123" fillId="0" borderId="0" xfId="0" applyFont="1" applyBorder="1"/>
    <xf numFmtId="9" fontId="124" fillId="30" borderId="0" xfId="0" applyNumberFormat="1" applyFont="1" applyFill="1" applyBorder="1"/>
    <xf numFmtId="0" fontId="0" fillId="30" borderId="0" xfId="0" applyFill="1" applyBorder="1"/>
    <xf numFmtId="9" fontId="18" fillId="0" borderId="0" xfId="0" applyNumberFormat="1" applyFont="1" applyBorder="1" applyAlignment="1">
      <alignment horizontal="center"/>
    </xf>
    <xf numFmtId="9" fontId="18" fillId="30" borderId="0" xfId="0" applyNumberFormat="1" applyFont="1" applyFill="1" applyBorder="1" applyAlignment="1">
      <alignment horizontal="center"/>
    </xf>
    <xf numFmtId="0" fontId="18" fillId="30" borderId="0" xfId="0" applyFont="1" applyFill="1" applyBorder="1" applyAlignment="1">
      <alignment horizontal="center"/>
    </xf>
    <xf numFmtId="2" fontId="0" fillId="0" borderId="0" xfId="0" applyNumberFormat="1" applyBorder="1"/>
    <xf numFmtId="1" fontId="5" fillId="0" borderId="0" xfId="0" applyNumberFormat="1" applyFont="1" applyBorder="1" applyAlignment="1">
      <alignment horizontal="left"/>
    </xf>
    <xf numFmtId="1" fontId="0" fillId="0" borderId="0" xfId="0" applyNumberFormat="1" applyBorder="1" applyAlignment="1">
      <alignment horizontal="right"/>
    </xf>
    <xf numFmtId="0" fontId="5" fillId="0" borderId="0" xfId="0" applyFont="1" applyBorder="1" applyAlignment="1">
      <alignment horizontal="right"/>
    </xf>
    <xf numFmtId="1" fontId="0" fillId="0" borderId="0" xfId="0" applyNumberFormat="1" applyBorder="1" applyAlignment="1">
      <alignment horizontal="center"/>
    </xf>
    <xf numFmtId="1" fontId="16" fillId="0" borderId="0" xfId="0" applyNumberFormat="1" applyFont="1" applyBorder="1" applyAlignment="1">
      <alignment horizontal="right"/>
    </xf>
    <xf numFmtId="1" fontId="18" fillId="0" borderId="0" xfId="0" applyNumberFormat="1" applyFon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xf numFmtId="0" fontId="5"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5" fillId="0" borderId="15" xfId="0" applyFont="1" applyBorder="1" applyAlignment="1">
      <alignment horizontal="center"/>
    </xf>
    <xf numFmtId="49" fontId="5" fillId="0" borderId="15" xfId="47" applyNumberFormat="1" applyBorder="1"/>
    <xf numFmtId="0" fontId="5" fillId="0" borderId="10" xfId="0" applyFont="1" applyBorder="1" applyAlignment="1">
      <alignment horizontal="center"/>
    </xf>
    <xf numFmtId="0" fontId="5" fillId="0" borderId="10" xfId="0" applyFont="1" applyBorder="1"/>
    <xf numFmtId="0" fontId="7" fillId="0" borderId="10" xfId="0" applyNumberFormat="1" applyFont="1" applyFill="1" applyBorder="1" applyAlignment="1">
      <alignment horizontal="right" shrinkToFit="1"/>
    </xf>
    <xf numFmtId="0" fontId="46" fillId="0" borderId="10" xfId="0" applyFont="1" applyBorder="1"/>
    <xf numFmtId="0" fontId="0" fillId="0" borderId="14" xfId="0" applyBorder="1"/>
    <xf numFmtId="49" fontId="5" fillId="0" borderId="18" xfId="0" applyNumberFormat="1" applyFont="1" applyBorder="1"/>
    <xf numFmtId="9" fontId="18" fillId="0" borderId="14" xfId="0" applyNumberFormat="1" applyFont="1" applyBorder="1" applyAlignment="1">
      <alignment horizontal="center"/>
    </xf>
    <xf numFmtId="3" fontId="104" fillId="0" borderId="0" xfId="0" applyNumberFormat="1" applyFont="1" applyBorder="1" applyAlignment="1">
      <alignment horizontal="center"/>
    </xf>
    <xf numFmtId="0" fontId="105" fillId="32" borderId="0" xfId="0" applyFont="1" applyFill="1" applyBorder="1"/>
    <xf numFmtId="10" fontId="105" fillId="0" borderId="0" xfId="0" applyNumberFormat="1" applyFont="1"/>
    <xf numFmtId="0" fontId="140" fillId="0" borderId="0" xfId="49" applyFont="1"/>
    <xf numFmtId="0" fontId="18" fillId="0" borderId="0" xfId="49" applyFont="1" applyAlignment="1">
      <alignment horizontal="right"/>
    </xf>
    <xf numFmtId="0" fontId="140" fillId="0" borderId="20" xfId="49" applyFont="1" applyBorder="1"/>
    <xf numFmtId="0" fontId="140" fillId="0" borderId="41" xfId="49" applyFont="1" applyBorder="1"/>
    <xf numFmtId="0" fontId="140" fillId="0" borderId="22" xfId="49" applyFont="1" applyBorder="1" applyAlignment="1"/>
    <xf numFmtId="0" fontId="140" fillId="0" borderId="23" xfId="49" applyFont="1" applyBorder="1"/>
    <xf numFmtId="0" fontId="140" fillId="0" borderId="22" xfId="49" applyFont="1" applyBorder="1"/>
    <xf numFmtId="0" fontId="140" fillId="32" borderId="22" xfId="49" applyFont="1" applyFill="1" applyBorder="1"/>
    <xf numFmtId="0" fontId="140" fillId="32" borderId="23" xfId="49" applyFont="1" applyFill="1" applyBorder="1"/>
    <xf numFmtId="0" fontId="140" fillId="0" borderId="22" xfId="49" applyFont="1" applyBorder="1" applyAlignment="1">
      <alignment horizontal="left" indent="1"/>
    </xf>
    <xf numFmtId="9" fontId="140" fillId="0" borderId="23" xfId="49" applyNumberFormat="1" applyFont="1" applyBorder="1"/>
    <xf numFmtId="0" fontId="140" fillId="0" borderId="30" xfId="49" applyFont="1" applyBorder="1"/>
    <xf numFmtId="0" fontId="18" fillId="0" borderId="42" xfId="49" applyFont="1" applyBorder="1" applyAlignment="1">
      <alignment horizontal="right"/>
    </xf>
    <xf numFmtId="0" fontId="135" fillId="0" borderId="0" xfId="0" applyFont="1" applyBorder="1"/>
    <xf numFmtId="0" fontId="103" fillId="0" borderId="0" xfId="0" applyFont="1" applyBorder="1" applyAlignment="1">
      <alignment horizontal="center"/>
    </xf>
    <xf numFmtId="0" fontId="103" fillId="24" borderId="0" xfId="0" applyFont="1" applyFill="1" applyBorder="1"/>
    <xf numFmtId="0" fontId="103" fillId="24" borderId="11" xfId="0" applyFont="1" applyFill="1" applyBorder="1"/>
    <xf numFmtId="0" fontId="103" fillId="0" borderId="0" xfId="0" applyFont="1" applyFill="1" applyBorder="1"/>
    <xf numFmtId="0" fontId="103" fillId="0" borderId="14" xfId="0" applyFont="1" applyFill="1" applyBorder="1"/>
    <xf numFmtId="0" fontId="103" fillId="0" borderId="11" xfId="0" applyFont="1" applyBorder="1"/>
    <xf numFmtId="0" fontId="103" fillId="24" borderId="14" xfId="0" applyFont="1" applyFill="1" applyBorder="1"/>
    <xf numFmtId="1" fontId="105" fillId="32" borderId="31" xfId="0" applyNumberFormat="1" applyFont="1" applyFill="1" applyBorder="1"/>
    <xf numFmtId="0" fontId="105" fillId="32" borderId="13" xfId="0" applyFont="1" applyFill="1" applyBorder="1"/>
    <xf numFmtId="1" fontId="105" fillId="32" borderId="13" xfId="0" applyNumberFormat="1" applyFont="1" applyFill="1" applyBorder="1"/>
    <xf numFmtId="0" fontId="141" fillId="0" borderId="0" xfId="0" applyFont="1" applyBorder="1" applyAlignment="1">
      <alignment horizontal="left"/>
    </xf>
    <xf numFmtId="0" fontId="103" fillId="0" borderId="10" xfId="0" applyFont="1" applyFill="1" applyBorder="1"/>
    <xf numFmtId="0" fontId="105" fillId="0" borderId="10" xfId="0" applyFont="1" applyFill="1" applyBorder="1"/>
    <xf numFmtId="0" fontId="142" fillId="0" borderId="0" xfId="0" applyFont="1" applyBorder="1" applyAlignment="1">
      <alignment horizontal="left"/>
    </xf>
    <xf numFmtId="14" fontId="104" fillId="0" borderId="0" xfId="0" applyNumberFormat="1" applyFont="1" applyBorder="1"/>
    <xf numFmtId="0" fontId="120" fillId="0" borderId="0" xfId="0" applyFont="1" applyBorder="1"/>
    <xf numFmtId="0" fontId="131" fillId="0" borderId="0" xfId="0" applyFont="1" applyBorder="1"/>
    <xf numFmtId="0" fontId="131" fillId="0" borderId="0" xfId="0" applyFont="1" applyBorder="1" applyAlignment="1">
      <alignment horizontal="right"/>
    </xf>
    <xf numFmtId="0" fontId="131" fillId="0" borderId="0" xfId="0" applyFont="1" applyBorder="1" applyAlignment="1">
      <alignment horizontal="center"/>
    </xf>
    <xf numFmtId="0" fontId="141" fillId="0" borderId="0" xfId="0" applyFont="1" applyBorder="1"/>
    <xf numFmtId="0" fontId="106" fillId="0" borderId="0" xfId="0" applyFont="1" applyFill="1" applyBorder="1" applyAlignment="1">
      <alignment horizontal="left"/>
    </xf>
    <xf numFmtId="0" fontId="110" fillId="32" borderId="13" xfId="0" applyFont="1" applyFill="1" applyBorder="1"/>
    <xf numFmtId="0" fontId="135" fillId="0" borderId="0" xfId="0" applyFont="1"/>
    <xf numFmtId="0" fontId="130" fillId="0" borderId="0" xfId="0" applyFont="1" applyBorder="1"/>
    <xf numFmtId="0" fontId="135" fillId="24" borderId="0" xfId="0" applyFont="1" applyFill="1" applyBorder="1"/>
    <xf numFmtId="9" fontId="105" fillId="0" borderId="0" xfId="0" applyNumberFormat="1" applyFont="1" applyBorder="1" applyAlignment="1">
      <alignment horizontal="center"/>
    </xf>
    <xf numFmtId="0" fontId="106" fillId="0" borderId="0" xfId="0" applyFont="1" applyBorder="1" applyAlignment="1">
      <alignment horizontal="center"/>
    </xf>
    <xf numFmtId="0" fontId="143" fillId="0" borderId="0" xfId="0" applyFont="1" applyBorder="1"/>
    <xf numFmtId="0" fontId="105" fillId="0" borderId="14" xfId="0" applyFont="1" applyBorder="1"/>
    <xf numFmtId="0" fontId="103" fillId="0" borderId="0" xfId="0" applyFont="1"/>
    <xf numFmtId="0" fontId="103" fillId="0" borderId="14" xfId="0" applyFont="1" applyBorder="1"/>
    <xf numFmtId="1" fontId="105" fillId="0" borderId="0" xfId="0" applyNumberFormat="1" applyFont="1" applyBorder="1" applyAlignment="1">
      <alignment horizontal="right"/>
    </xf>
    <xf numFmtId="1" fontId="105" fillId="0" borderId="0" xfId="0" applyNumberFormat="1" applyFont="1"/>
    <xf numFmtId="0" fontId="144" fillId="0" borderId="0" xfId="0" applyFont="1" applyBorder="1" applyAlignment="1">
      <alignment horizontal="center"/>
    </xf>
    <xf numFmtId="0" fontId="112" fillId="32" borderId="0" xfId="0" applyFont="1" applyFill="1" applyBorder="1"/>
    <xf numFmtId="9" fontId="103" fillId="32" borderId="0" xfId="0" applyNumberFormat="1" applyFont="1" applyFill="1" applyBorder="1" applyAlignment="1">
      <alignment horizontal="center"/>
    </xf>
    <xf numFmtId="0" fontId="145" fillId="0" borderId="0" xfId="0" applyFont="1" applyBorder="1" applyAlignment="1">
      <alignment horizontal="center"/>
    </xf>
    <xf numFmtId="0" fontId="106" fillId="0" borderId="0" xfId="0" applyFont="1"/>
    <xf numFmtId="0" fontId="5" fillId="24" borderId="0" xfId="0" applyFont="1" applyFill="1" applyBorder="1"/>
    <xf numFmtId="0" fontId="20" fillId="0" borderId="0" xfId="0" applyFont="1" applyBorder="1"/>
    <xf numFmtId="0" fontId="110" fillId="32" borderId="12" xfId="0" applyFont="1" applyFill="1" applyBorder="1"/>
    <xf numFmtId="0" fontId="105" fillId="24" borderId="17" xfId="0" applyFont="1" applyFill="1" applyBorder="1"/>
    <xf numFmtId="0" fontId="103" fillId="0" borderId="0" xfId="0" applyFont="1" applyBorder="1" applyAlignment="1">
      <alignment horizontal="right"/>
    </xf>
    <xf numFmtId="1" fontId="105" fillId="0" borderId="18" xfId="0" applyNumberFormat="1" applyFont="1" applyBorder="1" applyAlignment="1">
      <alignment horizontal="right"/>
    </xf>
    <xf numFmtId="0" fontId="103" fillId="0" borderId="0" xfId="0" applyFont="1" applyBorder="1" applyAlignment="1">
      <alignment horizontal="left" indent="1"/>
    </xf>
    <xf numFmtId="164" fontId="104" fillId="0" borderId="0" xfId="0" applyNumberFormat="1" applyFont="1" applyFill="1" applyBorder="1"/>
    <xf numFmtId="164" fontId="104" fillId="24" borderId="0" xfId="0" applyNumberFormat="1" applyFont="1" applyFill="1" applyBorder="1" applyAlignment="1">
      <alignment horizontal="left" indent="6"/>
    </xf>
    <xf numFmtId="9" fontId="103" fillId="0" borderId="0" xfId="0" applyNumberFormat="1" applyFont="1" applyFill="1" applyBorder="1" applyAlignment="1">
      <alignment horizontal="center"/>
    </xf>
    <xf numFmtId="164" fontId="103" fillId="0" borderId="0" xfId="0" applyNumberFormat="1" applyFont="1" applyBorder="1"/>
    <xf numFmtId="14" fontId="105" fillId="0" borderId="0" xfId="0" applyNumberFormat="1" applyFont="1" applyBorder="1" applyAlignment="1">
      <alignment horizontal="center"/>
    </xf>
    <xf numFmtId="14" fontId="119" fillId="0" borderId="0" xfId="0" applyNumberFormat="1" applyFont="1" applyBorder="1" applyAlignment="1">
      <alignment horizontal="center" shrinkToFit="1"/>
    </xf>
    <xf numFmtId="0" fontId="105" fillId="0" borderId="27" xfId="0" applyFont="1" applyBorder="1" applyAlignment="1"/>
    <xf numFmtId="0" fontId="105" fillId="0" borderId="27" xfId="0" applyFont="1" applyBorder="1" applyAlignment="1">
      <alignment horizontal="center"/>
    </xf>
    <xf numFmtId="0" fontId="104" fillId="0" borderId="27" xfId="0" applyFont="1" applyFill="1" applyBorder="1" applyAlignment="1">
      <alignment horizontal="left"/>
    </xf>
    <xf numFmtId="14" fontId="119" fillId="0" borderId="27" xfId="0" applyNumberFormat="1" applyFont="1" applyBorder="1" applyAlignment="1">
      <alignment horizontal="center" shrinkToFit="1"/>
    </xf>
    <xf numFmtId="0" fontId="110" fillId="0" borderId="27" xfId="0" applyFont="1" applyBorder="1"/>
    <xf numFmtId="169" fontId="105" fillId="0" borderId="0" xfId="0" applyNumberFormat="1" applyFont="1"/>
    <xf numFmtId="0" fontId="105" fillId="0" borderId="12" xfId="0" applyFont="1" applyBorder="1"/>
    <xf numFmtId="0" fontId="136" fillId="0" borderId="0" xfId="0" applyFont="1"/>
    <xf numFmtId="0" fontId="146" fillId="0" borderId="0" xfId="0" applyFont="1"/>
    <xf numFmtId="0" fontId="147" fillId="0" borderId="0" xfId="0" applyFont="1"/>
    <xf numFmtId="0" fontId="148" fillId="0" borderId="0" xfId="0" applyFont="1"/>
    <xf numFmtId="14" fontId="21" fillId="0" borderId="0" xfId="0" applyNumberFormat="1" applyFont="1" applyAlignment="1">
      <alignment horizontal="center"/>
    </xf>
    <xf numFmtId="0" fontId="110" fillId="32" borderId="0" xfId="0" applyFont="1" applyFill="1"/>
    <xf numFmtId="0" fontId="110" fillId="0" borderId="0" xfId="0" applyFont="1"/>
    <xf numFmtId="0" fontId="149" fillId="0" borderId="12" xfId="0" applyFont="1" applyBorder="1"/>
    <xf numFmtId="9" fontId="5" fillId="0" borderId="0" xfId="0" applyNumberFormat="1" applyFont="1" applyAlignment="1">
      <alignment horizontal="center"/>
    </xf>
    <xf numFmtId="0" fontId="151" fillId="0" borderId="0" xfId="50" applyFont="1" applyFill="1" applyAlignment="1">
      <alignment horizontal="center"/>
    </xf>
    <xf numFmtId="0" fontId="150" fillId="0" borderId="37" xfId="0" applyFont="1" applyFill="1" applyBorder="1" applyAlignment="1">
      <alignment horizontal="center"/>
    </xf>
    <xf numFmtId="0" fontId="150" fillId="39" borderId="37" xfId="0" applyFont="1" applyFill="1" applyBorder="1" applyAlignment="1">
      <alignment horizontal="center"/>
    </xf>
    <xf numFmtId="0" fontId="152" fillId="0" borderId="37" xfId="0" applyFont="1" applyFill="1" applyBorder="1" applyAlignment="1">
      <alignment horizontal="center"/>
    </xf>
    <xf numFmtId="0" fontId="152" fillId="40" borderId="37" xfId="0" applyFont="1" applyFill="1" applyBorder="1" applyAlignment="1">
      <alignment horizontal="left" indent="1"/>
    </xf>
    <xf numFmtId="0" fontId="152" fillId="40" borderId="37" xfId="0" applyFont="1" applyFill="1" applyBorder="1" applyAlignment="1">
      <alignment horizontal="center"/>
    </xf>
    <xf numFmtId="0" fontId="152" fillId="0" borderId="37" xfId="0" applyFont="1" applyFill="1" applyBorder="1" applyAlignment="1">
      <alignment horizontal="left" indent="1"/>
    </xf>
    <xf numFmtId="0" fontId="152" fillId="41" borderId="37" xfId="0" applyFont="1" applyFill="1" applyBorder="1" applyAlignment="1">
      <alignment horizontal="left" indent="1"/>
    </xf>
    <xf numFmtId="0" fontId="152" fillId="41" borderId="37" xfId="0" applyFont="1" applyFill="1" applyBorder="1" applyAlignment="1">
      <alignment horizontal="center"/>
    </xf>
    <xf numFmtId="0" fontId="152" fillId="42" borderId="37" xfId="0" applyFont="1" applyFill="1" applyBorder="1" applyAlignment="1">
      <alignment horizontal="left" indent="1"/>
    </xf>
    <xf numFmtId="0" fontId="152" fillId="42" borderId="37" xfId="0" applyFont="1" applyFill="1" applyBorder="1" applyAlignment="1">
      <alignment horizontal="center"/>
    </xf>
    <xf numFmtId="0" fontId="152" fillId="39" borderId="37" xfId="0" applyFont="1" applyFill="1" applyBorder="1" applyAlignment="1">
      <alignment horizontal="left" indent="1"/>
    </xf>
    <xf numFmtId="0" fontId="152" fillId="39" borderId="37" xfId="0" applyFont="1" applyFill="1" applyBorder="1" applyAlignment="1">
      <alignment horizontal="center"/>
    </xf>
    <xf numFmtId="0" fontId="152" fillId="43" borderId="37" xfId="0" applyFont="1" applyFill="1" applyBorder="1" applyAlignment="1">
      <alignment horizontal="left" indent="1"/>
    </xf>
    <xf numFmtId="0" fontId="152" fillId="43" borderId="37" xfId="0" applyFont="1" applyFill="1" applyBorder="1" applyAlignment="1">
      <alignment horizontal="center"/>
    </xf>
    <xf numFmtId="0" fontId="152" fillId="44" borderId="37" xfId="0" applyFont="1" applyFill="1" applyBorder="1" applyAlignment="1">
      <alignment horizontal="left" indent="1"/>
    </xf>
    <xf numFmtId="0" fontId="152" fillId="44" borderId="37" xfId="0" applyFont="1" applyFill="1" applyBorder="1" applyAlignment="1">
      <alignment horizontal="center"/>
    </xf>
    <xf numFmtId="0" fontId="152" fillId="45" borderId="37" xfId="0" applyFont="1" applyFill="1" applyBorder="1" applyAlignment="1">
      <alignment horizontal="left" indent="1"/>
    </xf>
    <xf numFmtId="0" fontId="152" fillId="45" borderId="37" xfId="0" applyFont="1" applyFill="1" applyBorder="1" applyAlignment="1">
      <alignment horizontal="center"/>
    </xf>
    <xf numFmtId="14" fontId="153" fillId="0" borderId="0" xfId="0" applyNumberFormat="1" applyFont="1" applyFill="1" applyBorder="1" applyAlignment="1">
      <alignment horizontal="center"/>
    </xf>
    <xf numFmtId="0" fontId="152" fillId="0" borderId="0" xfId="0" applyFont="1" applyFill="1" applyBorder="1"/>
    <xf numFmtId="0" fontId="152" fillId="0" borderId="0" xfId="0" applyFont="1" applyFill="1" applyBorder="1" applyAlignment="1">
      <alignment horizontal="left" indent="1"/>
    </xf>
    <xf numFmtId="0" fontId="154" fillId="0" borderId="0" xfId="0" applyFont="1" applyFill="1" applyBorder="1" applyAlignment="1">
      <alignment horizontal="right"/>
    </xf>
    <xf numFmtId="0" fontId="151" fillId="0" borderId="0" xfId="50" applyFont="1" applyFill="1" applyAlignment="1">
      <alignment horizontal="left" indent="1"/>
    </xf>
    <xf numFmtId="0" fontId="151" fillId="0" borderId="0" xfId="50" applyFont="1" applyFill="1"/>
    <xf numFmtId="14" fontId="105" fillId="0" borderId="27" xfId="0" applyNumberFormat="1" applyFont="1" applyBorder="1" applyAlignment="1"/>
    <xf numFmtId="0" fontId="105" fillId="35" borderId="0" xfId="0" applyFont="1" applyFill="1" applyAlignment="1">
      <alignment horizontal="center"/>
    </xf>
    <xf numFmtId="9" fontId="105" fillId="0" borderId="0" xfId="0" applyNumberFormat="1" applyFont="1" applyAlignment="1">
      <alignment horizontal="center"/>
    </xf>
    <xf numFmtId="14" fontId="105" fillId="0" borderId="0" xfId="0" applyNumberFormat="1" applyFont="1" applyBorder="1" applyAlignment="1"/>
    <xf numFmtId="1" fontId="105" fillId="0" borderId="0" xfId="0" applyNumberFormat="1" applyFont="1" applyBorder="1" applyAlignment="1"/>
    <xf numFmtId="9" fontId="105" fillId="0" borderId="0" xfId="0" applyNumberFormat="1" applyFont="1" applyBorder="1" applyAlignment="1"/>
    <xf numFmtId="0" fontId="107" fillId="32" borderId="0" xfId="0" applyFont="1" applyFill="1"/>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5" fillId="0" borderId="0" xfId="0" applyFont="1" applyAlignment="1">
      <alignment horizontal="center"/>
    </xf>
    <xf numFmtId="0" fontId="105" fillId="0" borderId="0" xfId="0" applyFont="1" applyFill="1" applyAlignment="1">
      <alignment horizontal="center"/>
    </xf>
    <xf numFmtId="0" fontId="105" fillId="0" borderId="0" xfId="0" applyFont="1" applyFill="1"/>
    <xf numFmtId="0" fontId="105" fillId="0" borderId="0" xfId="0" applyFont="1" applyFill="1" applyAlignment="1">
      <alignment horizontal="left"/>
    </xf>
    <xf numFmtId="0" fontId="106" fillId="0" borderId="0" xfId="0" applyFont="1" applyAlignment="1">
      <alignment horizontal="center"/>
    </xf>
    <xf numFmtId="0" fontId="106" fillId="0" borderId="0" xfId="0" applyFont="1" applyFill="1" applyBorder="1"/>
    <xf numFmtId="0" fontId="103" fillId="0" borderId="0" xfId="0" applyFont="1" applyAlignment="1">
      <alignment horizontal="center"/>
    </xf>
    <xf numFmtId="0" fontId="105" fillId="0" borderId="11" xfId="0" applyFont="1" applyFill="1" applyBorder="1"/>
    <xf numFmtId="0" fontId="105" fillId="34" borderId="20" xfId="0" applyFont="1" applyFill="1" applyBorder="1"/>
    <xf numFmtId="0" fontId="103" fillId="34" borderId="28" xfId="0" applyFont="1" applyFill="1" applyBorder="1"/>
    <xf numFmtId="0" fontId="103" fillId="34" borderId="28" xfId="0" applyFont="1" applyFill="1" applyBorder="1" applyAlignment="1">
      <alignment horizontal="center"/>
    </xf>
    <xf numFmtId="0" fontId="103" fillId="34" borderId="41" xfId="0" applyFont="1" applyFill="1" applyBorder="1" applyAlignment="1">
      <alignment horizontal="center"/>
    </xf>
    <xf numFmtId="0" fontId="105" fillId="34" borderId="22" xfId="0" applyFont="1" applyFill="1" applyBorder="1"/>
    <xf numFmtId="0" fontId="103" fillId="34" borderId="0" xfId="0" applyFont="1" applyFill="1" applyBorder="1"/>
    <xf numFmtId="0" fontId="103" fillId="34" borderId="23" xfId="0" applyFont="1" applyFill="1" applyBorder="1"/>
    <xf numFmtId="0" fontId="158" fillId="34" borderId="22" xfId="0" applyFont="1" applyFill="1" applyBorder="1" applyAlignment="1">
      <alignment horizontal="center"/>
    </xf>
    <xf numFmtId="0" fontId="103" fillId="34" borderId="27" xfId="0" applyFont="1" applyFill="1" applyBorder="1"/>
    <xf numFmtId="0" fontId="103" fillId="34" borderId="42" xfId="0" applyFont="1" applyFill="1" applyBorder="1"/>
    <xf numFmtId="0" fontId="105" fillId="48" borderId="20" xfId="0" applyFont="1" applyFill="1" applyBorder="1"/>
    <xf numFmtId="0" fontId="105" fillId="48" borderId="28" xfId="0" applyFont="1" applyFill="1" applyBorder="1"/>
    <xf numFmtId="0" fontId="105" fillId="48" borderId="41" xfId="0" applyFont="1" applyFill="1" applyBorder="1"/>
    <xf numFmtId="0" fontId="105" fillId="48" borderId="22" xfId="0" applyFont="1" applyFill="1" applyBorder="1" applyAlignment="1">
      <alignment horizontal="left" indent="2"/>
    </xf>
    <xf numFmtId="0" fontId="105" fillId="48" borderId="0" xfId="0" applyFont="1" applyFill="1" applyBorder="1"/>
    <xf numFmtId="0" fontId="105" fillId="48" borderId="23" xfId="0" applyFont="1" applyFill="1" applyBorder="1"/>
    <xf numFmtId="0" fontId="105" fillId="48" borderId="22" xfId="0" applyFont="1" applyFill="1" applyBorder="1"/>
    <xf numFmtId="0" fontId="105" fillId="48" borderId="30" xfId="0" applyFont="1" applyFill="1" applyBorder="1"/>
    <xf numFmtId="0" fontId="105" fillId="48" borderId="27" xfId="0" applyFont="1" applyFill="1" applyBorder="1"/>
    <xf numFmtId="0" fontId="110" fillId="48" borderId="54" xfId="0" applyFont="1" applyFill="1" applyBorder="1"/>
    <xf numFmtId="0" fontId="105" fillId="49" borderId="20" xfId="0" applyFont="1" applyFill="1" applyBorder="1" applyAlignment="1">
      <alignment horizontal="center"/>
    </xf>
    <xf numFmtId="0" fontId="105" fillId="49" borderId="28" xfId="0" applyFont="1" applyFill="1" applyBorder="1"/>
    <xf numFmtId="0" fontId="105" fillId="49" borderId="41" xfId="0" applyFont="1" applyFill="1" applyBorder="1"/>
    <xf numFmtId="0" fontId="105" fillId="49" borderId="22" xfId="0" applyFont="1" applyFill="1" applyBorder="1" applyAlignment="1">
      <alignment horizontal="center"/>
    </xf>
    <xf numFmtId="0" fontId="105" fillId="49" borderId="0" xfId="0" applyFont="1" applyFill="1" applyBorder="1"/>
    <xf numFmtId="0" fontId="105" fillId="49" borderId="23" xfId="0" applyFont="1" applyFill="1" applyBorder="1"/>
    <xf numFmtId="0" fontId="105" fillId="49" borderId="30" xfId="0" applyFont="1" applyFill="1" applyBorder="1" applyAlignment="1">
      <alignment horizontal="center"/>
    </xf>
    <xf numFmtId="0" fontId="105" fillId="49" borderId="27" xfId="0" applyFont="1" applyFill="1" applyBorder="1"/>
    <xf numFmtId="0" fontId="105" fillId="49" borderId="42" xfId="0" applyFont="1" applyFill="1" applyBorder="1"/>
    <xf numFmtId="0" fontId="135" fillId="48" borderId="23" xfId="0" applyFont="1" applyFill="1" applyBorder="1" applyAlignment="1"/>
    <xf numFmtId="0" fontId="135" fillId="48" borderId="23" xfId="0" applyFont="1" applyFill="1" applyBorder="1"/>
    <xf numFmtId="9" fontId="103" fillId="0" borderId="0" xfId="0" applyNumberFormat="1" applyFont="1" applyAlignment="1">
      <alignment horizontal="center"/>
    </xf>
    <xf numFmtId="0" fontId="130" fillId="34" borderId="23" xfId="0" applyFont="1" applyFill="1" applyBorder="1"/>
    <xf numFmtId="0" fontId="159" fillId="0" borderId="0" xfId="0" applyFont="1" applyBorder="1"/>
    <xf numFmtId="0" fontId="161" fillId="0" borderId="0" xfId="0" applyFont="1" applyAlignment="1">
      <alignment horizontal="left" vertical="center"/>
    </xf>
    <xf numFmtId="0" fontId="160" fillId="0" borderId="0" xfId="0" applyFont="1" applyAlignment="1">
      <alignment horizontal="left" vertical="center"/>
    </xf>
    <xf numFmtId="0" fontId="163" fillId="34" borderId="30" xfId="0" applyFont="1" applyFill="1" applyBorder="1" applyAlignment="1">
      <alignment horizontal="center"/>
    </xf>
    <xf numFmtId="0" fontId="160" fillId="0" borderId="0" xfId="0" applyFont="1" applyAlignment="1">
      <alignment horizontal="right" vertical="center"/>
    </xf>
    <xf numFmtId="0" fontId="160" fillId="0" borderId="0" xfId="0" applyFont="1" applyAlignment="1">
      <alignment vertical="center"/>
    </xf>
    <xf numFmtId="0" fontId="163" fillId="0" borderId="0" xfId="0" applyFont="1" applyAlignment="1">
      <alignment horizontal="left" vertical="center"/>
    </xf>
    <xf numFmtId="1" fontId="106" fillId="0" borderId="0" xfId="0" applyNumberFormat="1" applyFont="1" applyBorder="1" applyAlignment="1">
      <alignment shrinkToFit="1"/>
    </xf>
    <xf numFmtId="0" fontId="105" fillId="0" borderId="0" xfId="0" applyFont="1" applyBorder="1" applyAlignment="1"/>
    <xf numFmtId="0" fontId="122" fillId="0" borderId="0" xfId="0" applyFont="1" applyFill="1" applyBorder="1" applyAlignment="1">
      <alignment horizontal="center"/>
    </xf>
    <xf numFmtId="0" fontId="141" fillId="0" borderId="0" xfId="0" applyFont="1" applyAlignment="1">
      <alignment horizontal="center"/>
    </xf>
    <xf numFmtId="1" fontId="136" fillId="0" borderId="0" xfId="0" applyNumberFormat="1" applyFont="1" applyBorder="1" applyAlignment="1">
      <alignment horizontal="right" indent="1"/>
    </xf>
    <xf numFmtId="0" fontId="164" fillId="0" borderId="0" xfId="0" applyFont="1" applyBorder="1"/>
    <xf numFmtId="0" fontId="105" fillId="0" borderId="0" xfId="51" applyFont="1" applyFill="1"/>
    <xf numFmtId="0" fontId="105" fillId="0" borderId="0" xfId="51" applyFont="1" applyFill="1" applyAlignment="1">
      <alignment horizontal="left"/>
    </xf>
    <xf numFmtId="0" fontId="116" fillId="0" borderId="0" xfId="51" applyFont="1" applyFill="1" applyAlignment="1">
      <alignment horizontal="left"/>
    </xf>
    <xf numFmtId="0" fontId="155" fillId="0" borderId="0" xfId="51" applyFont="1" applyFill="1" applyAlignment="1">
      <alignment horizontal="center"/>
    </xf>
    <xf numFmtId="0" fontId="157" fillId="0" borderId="0" xfId="51" applyFont="1" applyFill="1" applyAlignment="1">
      <alignment horizontal="center"/>
    </xf>
    <xf numFmtId="0" fontId="103" fillId="0" borderId="0" xfId="51" applyFont="1" applyFill="1" applyAlignment="1">
      <alignment horizontal="right"/>
    </xf>
    <xf numFmtId="0" fontId="162" fillId="0" borderId="0" xfId="51" applyFont="1" applyFill="1" applyAlignment="1">
      <alignment horizontal="left"/>
    </xf>
    <xf numFmtId="9" fontId="105" fillId="0" borderId="0" xfId="0" applyNumberFormat="1" applyFont="1"/>
    <xf numFmtId="0" fontId="164" fillId="0" borderId="0" xfId="51" applyFont="1" applyFill="1" applyAlignment="1">
      <alignment horizontal="left" indent="1"/>
    </xf>
    <xf numFmtId="0" fontId="162" fillId="0" borderId="31" xfId="51" applyFont="1" applyFill="1" applyBorder="1"/>
    <xf numFmtId="0" fontId="103" fillId="0" borderId="14" xfId="51" applyFont="1" applyFill="1" applyBorder="1" applyAlignment="1">
      <alignment horizontal="right"/>
    </xf>
    <xf numFmtId="0" fontId="110" fillId="32" borderId="0" xfId="51" applyFont="1" applyFill="1" applyAlignment="1">
      <alignment horizontal="left"/>
    </xf>
    <xf numFmtId="0" fontId="110" fillId="32" borderId="0" xfId="0" applyFont="1" applyFill="1" applyAlignment="1">
      <alignment horizontal="left"/>
    </xf>
    <xf numFmtId="0" fontId="125" fillId="0" borderId="22" xfId="0" applyFont="1" applyBorder="1" applyAlignment="1">
      <alignment horizontal="center"/>
    </xf>
    <xf numFmtId="0" fontId="125" fillId="0" borderId="0" xfId="0" applyFont="1" applyBorder="1" applyAlignment="1">
      <alignment horizontal="center"/>
    </xf>
    <xf numFmtId="0" fontId="125" fillId="0" borderId="23" xfId="0" applyFont="1" applyBorder="1" applyAlignment="1">
      <alignment horizontal="center"/>
    </xf>
    <xf numFmtId="0" fontId="166" fillId="0" borderId="0" xfId="0" applyFont="1" applyFill="1" applyBorder="1" applyAlignment="1">
      <alignment horizontal="left"/>
    </xf>
    <xf numFmtId="3" fontId="165" fillId="0" borderId="0" xfId="0" applyNumberFormat="1" applyFont="1" applyBorder="1" applyAlignment="1">
      <alignment horizontal="right"/>
    </xf>
    <xf numFmtId="1" fontId="105" fillId="0" borderId="0" xfId="51" applyNumberFormat="1" applyFont="1" applyFill="1" applyAlignment="1">
      <alignment horizontal="right"/>
    </xf>
    <xf numFmtId="1" fontId="110" fillId="32" borderId="0" xfId="51" applyNumberFormat="1" applyFont="1" applyFill="1" applyAlignment="1">
      <alignment horizontal="right"/>
    </xf>
    <xf numFmtId="0" fontId="103" fillId="0" borderId="0" xfId="51" applyFont="1" applyFill="1"/>
    <xf numFmtId="0" fontId="103" fillId="0" borderId="0" xfId="0" applyFont="1" applyFill="1"/>
    <xf numFmtId="0" fontId="130" fillId="32" borderId="0" xfId="51" applyFont="1" applyFill="1"/>
    <xf numFmtId="0" fontId="119" fillId="0" borderId="0" xfId="0" applyFont="1" applyBorder="1" applyAlignment="1">
      <alignment horizontal="left" shrinkToFit="1"/>
    </xf>
    <xf numFmtId="0" fontId="119" fillId="0" borderId="27" xfId="0" applyFont="1" applyBorder="1" applyAlignment="1">
      <alignment horizontal="left" shrinkToFit="1"/>
    </xf>
    <xf numFmtId="0" fontId="105" fillId="0" borderId="0" xfId="51" applyFont="1" applyFill="1" applyAlignment="1">
      <alignment horizontal="left" indent="1"/>
    </xf>
    <xf numFmtId="1" fontId="105" fillId="24" borderId="14" xfId="0" applyNumberFormat="1" applyFont="1" applyFill="1" applyBorder="1"/>
    <xf numFmtId="0" fontId="167" fillId="32" borderId="41" xfId="0" applyFont="1" applyFill="1" applyBorder="1" applyAlignment="1"/>
    <xf numFmtId="0" fontId="142" fillId="0" borderId="0" xfId="0" applyFont="1" applyBorder="1"/>
    <xf numFmtId="0" fontId="142" fillId="0" borderId="0" xfId="51" applyFont="1" applyFill="1"/>
    <xf numFmtId="0" fontId="105" fillId="32" borderId="0" xfId="0" applyFont="1" applyFill="1" applyAlignment="1">
      <alignment horizontal="left" indent="3"/>
    </xf>
    <xf numFmtId="1" fontId="136" fillId="0" borderId="0" xfId="0" applyNumberFormat="1" applyFont="1" applyBorder="1"/>
    <xf numFmtId="0" fontId="168" fillId="0" borderId="0" xfId="0" applyFont="1" applyBorder="1" applyAlignment="1">
      <alignment horizontal="left"/>
    </xf>
    <xf numFmtId="0" fontId="112" fillId="0" borderId="27" xfId="0" applyFont="1" applyBorder="1"/>
    <xf numFmtId="0" fontId="164" fillId="0" borderId="0" xfId="0" applyFont="1"/>
    <xf numFmtId="0" fontId="105" fillId="32" borderId="0" xfId="0" applyFont="1" applyFill="1"/>
    <xf numFmtId="14" fontId="104" fillId="0" borderId="0" xfId="0" applyNumberFormat="1" applyFont="1" applyBorder="1" applyAlignment="1">
      <alignment horizontal="center"/>
    </xf>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14" fillId="0" borderId="28" xfId="0" applyFont="1" applyBorder="1"/>
    <xf numFmtId="0" fontId="114" fillId="0" borderId="0" xfId="0" applyFont="1" applyFill="1" applyBorder="1"/>
    <xf numFmtId="14" fontId="103" fillId="0" borderId="0" xfId="0" applyNumberFormat="1" applyFont="1" applyBorder="1"/>
    <xf numFmtId="3" fontId="113" fillId="0" borderId="0" xfId="0" applyNumberFormat="1" applyFont="1" applyBorder="1" applyAlignment="1">
      <alignment horizontal="center"/>
    </xf>
    <xf numFmtId="0" fontId="113" fillId="0" borderId="0" xfId="0" applyFont="1" applyBorder="1" applyAlignment="1">
      <alignment horizontal="center"/>
    </xf>
    <xf numFmtId="0" fontId="112" fillId="0" borderId="0" xfId="0" applyFont="1" applyBorder="1" applyAlignment="1">
      <alignment vertical="center"/>
    </xf>
    <xf numFmtId="0" fontId="103" fillId="0" borderId="27" xfId="0" applyFont="1" applyBorder="1"/>
    <xf numFmtId="0" fontId="103" fillId="0" borderId="0" xfId="0" applyFont="1" applyBorder="1" applyAlignment="1">
      <alignment horizontal="left" indent="2"/>
    </xf>
    <xf numFmtId="14" fontId="103" fillId="0" borderId="0" xfId="0" applyNumberFormat="1" applyFont="1" applyBorder="1" applyAlignment="1">
      <alignment horizontal="center"/>
    </xf>
    <xf numFmtId="0" fontId="111" fillId="0" borderId="0" xfId="0" applyFont="1" applyBorder="1"/>
    <xf numFmtId="0" fontId="15" fillId="0" borderId="0" xfId="0" applyFont="1" applyAlignment="1">
      <alignment horizontal="right"/>
    </xf>
    <xf numFmtId="0" fontId="105" fillId="0" borderId="0" xfId="0" applyFont="1" applyAlignment="1">
      <alignment horizontal="right"/>
    </xf>
    <xf numFmtId="0" fontId="133" fillId="35" borderId="0" xfId="0" applyFont="1" applyFill="1" applyBorder="1"/>
    <xf numFmtId="0" fontId="105" fillId="34" borderId="0" xfId="0" applyFont="1" applyFill="1" applyBorder="1"/>
    <xf numFmtId="14" fontId="119" fillId="0" borderId="0" xfId="0" applyNumberFormat="1" applyFont="1" applyBorder="1" applyAlignment="1">
      <alignment horizontal="center"/>
    </xf>
    <xf numFmtId="0" fontId="136" fillId="0" borderId="14" xfId="0" applyFont="1" applyBorder="1"/>
    <xf numFmtId="0" fontId="136" fillId="0" borderId="0" xfId="0" applyFont="1" applyBorder="1"/>
    <xf numFmtId="0" fontId="172" fillId="0" borderId="0" xfId="0" applyFont="1" applyBorder="1"/>
    <xf numFmtId="0" fontId="137" fillId="0" borderId="0" xfId="0" applyFont="1" applyBorder="1" applyAlignment="1">
      <alignment horizontal="left"/>
    </xf>
    <xf numFmtId="0" fontId="119" fillId="0" borderId="0" xfId="0" applyFont="1" applyBorder="1"/>
    <xf numFmtId="9" fontId="136" fillId="0" borderId="0" xfId="0" applyNumberFormat="1" applyFont="1" applyBorder="1" applyAlignment="1">
      <alignment horizontal="center"/>
    </xf>
    <xf numFmtId="14" fontId="103" fillId="0" borderId="0" xfId="0" applyNumberFormat="1" applyFont="1" applyFill="1" applyBorder="1" applyAlignment="1">
      <alignment horizontal="center"/>
    </xf>
    <xf numFmtId="0" fontId="141" fillId="0" borderId="0" xfId="0" applyFont="1" applyBorder="1" applyAlignment="1">
      <alignment horizontal="right"/>
    </xf>
    <xf numFmtId="0" fontId="170" fillId="0" borderId="0" xfId="0" applyFont="1" applyBorder="1"/>
    <xf numFmtId="0" fontId="145" fillId="0" borderId="0" xfId="0" applyFont="1" applyBorder="1" applyAlignment="1">
      <alignment horizontal="right"/>
    </xf>
    <xf numFmtId="0" fontId="173" fillId="0" borderId="0" xfId="0" applyFont="1" applyBorder="1" applyAlignment="1">
      <alignment horizontal="right"/>
    </xf>
    <xf numFmtId="14" fontId="175" fillId="0" borderId="0" xfId="0" applyNumberFormat="1" applyFont="1" applyBorder="1" applyAlignment="1">
      <alignment horizontal="center" shrinkToFit="1"/>
    </xf>
    <xf numFmtId="15" fontId="44" fillId="0" borderId="0" xfId="0" applyNumberFormat="1" applyFont="1" applyFill="1" applyBorder="1" applyAlignment="1">
      <alignment horizontal="center" shrinkToFit="1"/>
    </xf>
    <xf numFmtId="0" fontId="174" fillId="50" borderId="20" xfId="0" applyFont="1" applyFill="1" applyBorder="1" applyAlignment="1">
      <alignment horizontal="center"/>
    </xf>
    <xf numFmtId="0" fontId="174" fillId="50" borderId="41" xfId="0" applyFont="1" applyFill="1" applyBorder="1" applyAlignment="1">
      <alignment horizontal="center"/>
    </xf>
    <xf numFmtId="0" fontId="18" fillId="49" borderId="22" xfId="0" applyFont="1" applyFill="1" applyBorder="1" applyAlignment="1">
      <alignment horizontal="center"/>
    </xf>
    <xf numFmtId="0" fontId="18" fillId="30" borderId="23" xfId="0" applyFont="1" applyFill="1" applyBorder="1" applyAlignment="1">
      <alignment horizontal="center"/>
    </xf>
    <xf numFmtId="0" fontId="18" fillId="49" borderId="30" xfId="0" applyFont="1" applyFill="1" applyBorder="1" applyAlignment="1">
      <alignment horizontal="center"/>
    </xf>
    <xf numFmtId="0" fontId="18" fillId="30" borderId="42" xfId="0" applyFont="1" applyFill="1" applyBorder="1" applyAlignment="1">
      <alignment horizontal="center"/>
    </xf>
    <xf numFmtId="0" fontId="103" fillId="0" borderId="0" xfId="0" applyFont="1" applyAlignment="1">
      <alignment horizontal="right"/>
    </xf>
    <xf numFmtId="0" fontId="136" fillId="0" borderId="0" xfId="0" applyFont="1" applyFill="1" applyBorder="1"/>
    <xf numFmtId="14" fontId="113" fillId="0" borderId="0" xfId="0" applyNumberFormat="1" applyFont="1" applyBorder="1" applyAlignment="1">
      <alignment horizontal="center"/>
    </xf>
    <xf numFmtId="0" fontId="176" fillId="0" borderId="0" xfId="0" applyFont="1" applyAlignment="1">
      <alignment horizontal="center"/>
    </xf>
    <xf numFmtId="0" fontId="141" fillId="0" borderId="0" xfId="0" applyFont="1" applyBorder="1" applyAlignment="1">
      <alignment horizontal="center"/>
    </xf>
    <xf numFmtId="0" fontId="179" fillId="0" borderId="0" xfId="0" applyFont="1" applyBorder="1" applyAlignment="1">
      <alignment horizontal="left"/>
    </xf>
    <xf numFmtId="0" fontId="180" fillId="0" borderId="0" xfId="0" applyFont="1" applyBorder="1"/>
    <xf numFmtId="0" fontId="181" fillId="0" borderId="0" xfId="0" applyFont="1" applyFill="1" applyBorder="1" applyAlignment="1">
      <alignment horizontal="center"/>
    </xf>
    <xf numFmtId="0" fontId="105" fillId="35" borderId="0" xfId="0" applyFont="1" applyFill="1" applyBorder="1"/>
    <xf numFmtId="0" fontId="177" fillId="0" borderId="0" xfId="0" applyFont="1" applyFill="1" applyBorder="1"/>
    <xf numFmtId="0" fontId="18" fillId="0" borderId="0" xfId="0" applyFont="1" applyBorder="1" applyAlignment="1">
      <alignment horizontal="center"/>
    </xf>
    <xf numFmtId="15" fontId="122" fillId="0" borderId="0" xfId="0" applyNumberFormat="1" applyFont="1" applyFill="1" applyBorder="1" applyAlignment="1">
      <alignment horizontal="center" shrinkToFit="1"/>
    </xf>
    <xf numFmtId="0" fontId="112" fillId="0" borderId="57" xfId="0" applyFont="1" applyBorder="1"/>
    <xf numFmtId="0" fontId="106" fillId="0" borderId="58" xfId="0" applyFont="1" applyBorder="1" applyAlignment="1">
      <alignment shrinkToFit="1"/>
    </xf>
    <xf numFmtId="0" fontId="112" fillId="0" borderId="34" xfId="0" applyFont="1" applyBorder="1"/>
    <xf numFmtId="0" fontId="105" fillId="0" borderId="34" xfId="0" applyFont="1" applyBorder="1"/>
    <xf numFmtId="0" fontId="118" fillId="0" borderId="34" xfId="0" applyFont="1" applyBorder="1" applyAlignment="1">
      <alignment horizontal="right"/>
    </xf>
    <xf numFmtId="0" fontId="104" fillId="0" borderId="34" xfId="0" applyFont="1" applyBorder="1" applyAlignment="1">
      <alignment horizontal="left"/>
    </xf>
    <xf numFmtId="0" fontId="105" fillId="0" borderId="34" xfId="0" applyFont="1" applyBorder="1" applyAlignment="1">
      <alignment horizontal="center"/>
    </xf>
    <xf numFmtId="1" fontId="110" fillId="0" borderId="59" xfId="0" applyNumberFormat="1" applyFont="1" applyBorder="1" applyAlignment="1">
      <alignment horizontal="right"/>
    </xf>
    <xf numFmtId="0" fontId="122" fillId="0" borderId="60" xfId="0" applyFont="1" applyFill="1" applyBorder="1" applyAlignment="1">
      <alignment horizontal="center"/>
    </xf>
    <xf numFmtId="0" fontId="147" fillId="0" borderId="0" xfId="0" applyFont="1" applyFill="1" applyBorder="1" applyAlignment="1">
      <alignment horizontal="left"/>
    </xf>
    <xf numFmtId="0" fontId="136" fillId="24" borderId="11" xfId="0" applyFont="1" applyFill="1" applyBorder="1"/>
    <xf numFmtId="0" fontId="104" fillId="0" borderId="34" xfId="0" applyFont="1" applyFill="1" applyBorder="1" applyAlignment="1">
      <alignment horizontal="left"/>
    </xf>
    <xf numFmtId="0" fontId="106" fillId="0" borderId="21" xfId="0" applyFont="1" applyBorder="1" applyAlignment="1">
      <alignment shrinkToFit="1"/>
    </xf>
    <xf numFmtId="0" fontId="118" fillId="0" borderId="14" xfId="0" applyFont="1" applyBorder="1" applyAlignment="1">
      <alignment horizontal="right"/>
    </xf>
    <xf numFmtId="0" fontId="104" fillId="0" borderId="14" xfId="0" applyFont="1" applyBorder="1" applyAlignment="1">
      <alignment horizontal="left"/>
    </xf>
    <xf numFmtId="0" fontId="105" fillId="0" borderId="11" xfId="0" applyFont="1" applyBorder="1" applyAlignment="1">
      <alignment horizontal="center"/>
    </xf>
    <xf numFmtId="0" fontId="141" fillId="0" borderId="0" xfId="0" applyFont="1" applyBorder="1" applyAlignment="1"/>
    <xf numFmtId="1" fontId="104" fillId="0" borderId="0" xfId="0" applyNumberFormat="1" applyFont="1" applyBorder="1" applyAlignment="1">
      <alignment horizontal="center"/>
    </xf>
    <xf numFmtId="0" fontId="184" fillId="0" borderId="0" xfId="0" applyFont="1" applyBorder="1" applyAlignment="1">
      <alignment horizontal="right"/>
    </xf>
    <xf numFmtId="0" fontId="184" fillId="0" borderId="0" xfId="0" applyFont="1" applyBorder="1" applyAlignment="1">
      <alignment horizontal="center"/>
    </xf>
    <xf numFmtId="1" fontId="105" fillId="0" borderId="12" xfId="0" applyNumberFormat="1" applyFont="1" applyBorder="1"/>
    <xf numFmtId="0" fontId="18" fillId="0" borderId="0" xfId="0" applyFont="1" applyBorder="1" applyAlignment="1">
      <alignment horizontal="center"/>
    </xf>
    <xf numFmtId="0" fontId="105" fillId="0" borderId="0" xfId="0" applyFont="1" applyAlignment="1">
      <alignment horizontal="center"/>
    </xf>
    <xf numFmtId="0" fontId="110" fillId="0" borderId="16" xfId="0" applyFont="1" applyBorder="1"/>
    <xf numFmtId="0" fontId="103" fillId="0" borderId="0" xfId="0" applyFont="1" applyAlignment="1"/>
    <xf numFmtId="10" fontId="112" fillId="32" borderId="0" xfId="52" applyNumberFormat="1" applyFont="1" applyFill="1" applyAlignment="1"/>
    <xf numFmtId="0" fontId="175" fillId="0" borderId="0" xfId="0" applyFont="1" applyFill="1" applyBorder="1" applyAlignment="1">
      <alignment horizontal="center"/>
    </xf>
    <xf numFmtId="0" fontId="119" fillId="32" borderId="0" xfId="0" applyFont="1" applyFill="1" applyBorder="1"/>
    <xf numFmtId="0" fontId="105" fillId="32" borderId="11" xfId="0" applyFont="1" applyFill="1" applyBorder="1"/>
    <xf numFmtId="0" fontId="18" fillId="0" borderId="0" xfId="0" applyFont="1" applyBorder="1" applyAlignment="1">
      <alignment horizontal="center"/>
    </xf>
    <xf numFmtId="0" fontId="105" fillId="32" borderId="26" xfId="0" applyFont="1" applyFill="1" applyBorder="1"/>
    <xf numFmtId="0" fontId="122" fillId="0" borderId="23" xfId="0" applyFont="1" applyFill="1" applyBorder="1" applyAlignment="1">
      <alignment horizontal="center" vertical="center"/>
    </xf>
    <xf numFmtId="0" fontId="18" fillId="0" borderId="0" xfId="0" applyFont="1" applyBorder="1" applyAlignment="1"/>
    <xf numFmtId="0" fontId="103" fillId="0" borderId="22" xfId="0" applyFont="1" applyBorder="1"/>
    <xf numFmtId="0" fontId="105" fillId="0" borderId="21" xfId="0" applyFont="1" applyBorder="1" applyAlignment="1">
      <alignment horizontal="right"/>
    </xf>
    <xf numFmtId="1" fontId="105" fillId="0" borderId="21" xfId="0" applyNumberFormat="1" applyFont="1" applyBorder="1" applyAlignment="1">
      <alignment horizontal="right"/>
    </xf>
    <xf numFmtId="1" fontId="105" fillId="0" borderId="22" xfId="0" applyNumberFormat="1" applyFont="1" applyBorder="1" applyAlignment="1">
      <alignment horizontal="right"/>
    </xf>
    <xf numFmtId="0" fontId="105" fillId="0" borderId="22" xfId="0" applyFont="1" applyBorder="1" applyAlignment="1">
      <alignment horizontal="right"/>
    </xf>
    <xf numFmtId="0" fontId="112" fillId="0" borderId="22" xfId="0" applyFont="1" applyBorder="1"/>
    <xf numFmtId="1" fontId="110" fillId="0" borderId="55" xfId="0" applyNumberFormat="1" applyFont="1" applyBorder="1" applyAlignment="1">
      <alignment horizontal="right"/>
    </xf>
    <xf numFmtId="0" fontId="136" fillId="24" borderId="0" xfId="0" applyFont="1" applyFill="1" applyBorder="1"/>
    <xf numFmtId="0" fontId="105" fillId="32" borderId="31" xfId="0" applyFont="1" applyFill="1" applyBorder="1"/>
    <xf numFmtId="0" fontId="105" fillId="0" borderId="31" xfId="0" applyFont="1" applyBorder="1"/>
    <xf numFmtId="0" fontId="186" fillId="0" borderId="0" xfId="0" applyFont="1"/>
    <xf numFmtId="0" fontId="136" fillId="0" borderId="0" xfId="0" applyFont="1" applyAlignment="1">
      <alignment horizontal="center"/>
    </xf>
    <xf numFmtId="0" fontId="177" fillId="48" borderId="0" xfId="0" applyFont="1" applyFill="1" applyBorder="1" applyAlignment="1">
      <alignment horizontal="center"/>
    </xf>
    <xf numFmtId="14" fontId="133" fillId="47" borderId="0" xfId="0" applyNumberFormat="1" applyFont="1" applyFill="1" applyBorder="1" applyAlignment="1">
      <alignment horizontal="center" vertical="center"/>
    </xf>
    <xf numFmtId="0" fontId="105" fillId="49" borderId="20" xfId="0" applyFont="1" applyFill="1" applyBorder="1"/>
    <xf numFmtId="0" fontId="105" fillId="49" borderId="0" xfId="0" applyFont="1" applyFill="1" applyBorder="1" applyAlignment="1">
      <alignment horizontal="center" vertical="center"/>
    </xf>
    <xf numFmtId="0" fontId="105" fillId="49" borderId="22" xfId="0" applyFont="1" applyFill="1" applyBorder="1"/>
    <xf numFmtId="0" fontId="179" fillId="47" borderId="0" xfId="0" applyFont="1" applyFill="1" applyBorder="1" applyAlignment="1">
      <alignment horizontal="center"/>
    </xf>
    <xf numFmtId="0" fontId="105" fillId="35" borderId="14" xfId="0" applyFont="1" applyFill="1" applyBorder="1"/>
    <xf numFmtId="0" fontId="105" fillId="34" borderId="23" xfId="0" applyFont="1" applyFill="1" applyBorder="1"/>
    <xf numFmtId="0" fontId="182" fillId="32" borderId="23" xfId="0" applyFont="1" applyFill="1" applyBorder="1" applyAlignment="1">
      <alignment horizontal="right"/>
    </xf>
    <xf numFmtId="0" fontId="105" fillId="49" borderId="30" xfId="0" applyFont="1" applyFill="1" applyBorder="1"/>
    <xf numFmtId="0" fontId="105" fillId="34" borderId="0" xfId="0" applyFont="1" applyFill="1" applyBorder="1" applyAlignment="1">
      <alignment horizontal="center"/>
    </xf>
    <xf numFmtId="14" fontId="105" fillId="49" borderId="27" xfId="0" applyNumberFormat="1" applyFont="1" applyFill="1" applyBorder="1"/>
    <xf numFmtId="0" fontId="187" fillId="0" borderId="0" xfId="0" applyFont="1" applyBorder="1"/>
    <xf numFmtId="0" fontId="103" fillId="33" borderId="0" xfId="0" applyFont="1" applyFill="1" applyBorder="1"/>
    <xf numFmtId="0" fontId="103" fillId="35" borderId="0" xfId="0" applyFont="1" applyFill="1" applyBorder="1"/>
    <xf numFmtId="0" fontId="103" fillId="48" borderId="0" xfId="0" applyFont="1" applyFill="1" applyBorder="1"/>
    <xf numFmtId="0" fontId="103" fillId="48" borderId="14" xfId="0" applyFont="1" applyFill="1" applyBorder="1" applyAlignment="1">
      <alignment horizontal="right"/>
    </xf>
    <xf numFmtId="0" fontId="120" fillId="0" borderId="0" xfId="0" applyFont="1" applyFill="1" applyBorder="1"/>
    <xf numFmtId="0" fontId="147" fillId="48" borderId="0" xfId="0" applyFont="1" applyFill="1" applyBorder="1"/>
    <xf numFmtId="0" fontId="142" fillId="48" borderId="0" xfId="0" applyFont="1" applyFill="1" applyBorder="1"/>
    <xf numFmtId="0" fontId="103" fillId="46" borderId="0" xfId="0" applyFont="1" applyFill="1" applyBorder="1"/>
    <xf numFmtId="9" fontId="112" fillId="35" borderId="0" xfId="0" applyNumberFormat="1" applyFont="1" applyFill="1" applyBorder="1" applyAlignment="1">
      <alignment horizontal="center" vertical="top"/>
    </xf>
    <xf numFmtId="0" fontId="171" fillId="0" borderId="0" xfId="0" applyFont="1" applyFill="1" applyBorder="1"/>
    <xf numFmtId="9" fontId="103" fillId="46" borderId="0" xfId="0" applyNumberFormat="1" applyFont="1" applyFill="1" applyBorder="1" applyAlignment="1">
      <alignment horizontal="center" vertical="center"/>
    </xf>
    <xf numFmtId="0" fontId="103" fillId="46" borderId="14" xfId="0" applyFont="1" applyFill="1" applyBorder="1"/>
    <xf numFmtId="0" fontId="141" fillId="33" borderId="14" xfId="0" applyFont="1" applyFill="1" applyBorder="1"/>
    <xf numFmtId="0" fontId="105" fillId="0" borderId="0" xfId="0" applyFont="1" applyFill="1" applyBorder="1" applyAlignment="1">
      <alignment horizontal="center"/>
    </xf>
    <xf numFmtId="1" fontId="103" fillId="0" borderId="0" xfId="0" applyNumberFormat="1" applyFont="1" applyFill="1" applyBorder="1"/>
    <xf numFmtId="0" fontId="108" fillId="0" borderId="0" xfId="0" applyFont="1" applyBorder="1" applyAlignment="1">
      <alignment horizontal="center"/>
    </xf>
    <xf numFmtId="0" fontId="122" fillId="0" borderId="0" xfId="0" applyFont="1" applyFill="1" applyBorder="1" applyAlignment="1">
      <alignment horizontal="center" vertical="center"/>
    </xf>
    <xf numFmtId="0" fontId="105" fillId="34" borderId="28" xfId="0" applyFont="1" applyFill="1" applyBorder="1"/>
    <xf numFmtId="0" fontId="103" fillId="0" borderId="23" xfId="0" applyFont="1" applyBorder="1"/>
    <xf numFmtId="0" fontId="147" fillId="0" borderId="23" xfId="0" applyFont="1" applyBorder="1"/>
    <xf numFmtId="0" fontId="147" fillId="0" borderId="23" xfId="0" applyFont="1" applyBorder="1" applyAlignment="1">
      <alignment horizontal="center"/>
    </xf>
    <xf numFmtId="0" fontId="103" fillId="0" borderId="23" xfId="0" applyFont="1" applyBorder="1" applyAlignment="1">
      <alignment horizontal="center"/>
    </xf>
    <xf numFmtId="0" fontId="103" fillId="48" borderId="26" xfId="0" applyFont="1" applyFill="1" applyBorder="1"/>
    <xf numFmtId="0" fontId="112" fillId="48" borderId="26" xfId="0" applyFont="1" applyFill="1" applyBorder="1"/>
    <xf numFmtId="0" fontId="103" fillId="0" borderId="42" xfId="0" applyFont="1" applyBorder="1"/>
    <xf numFmtId="0" fontId="166" fillId="0" borderId="0" xfId="0" applyFont="1" applyBorder="1" applyAlignment="1">
      <alignment horizontal="center"/>
    </xf>
    <xf numFmtId="0" fontId="107" fillId="0" borderId="28" xfId="0" applyFont="1" applyBorder="1"/>
    <xf numFmtId="0" fontId="105" fillId="0" borderId="28" xfId="0" applyFont="1" applyBorder="1" applyAlignment="1">
      <alignment horizontal="center"/>
    </xf>
    <xf numFmtId="0" fontId="105" fillId="0" borderId="41" xfId="0" applyFont="1" applyBorder="1" applyAlignment="1">
      <alignment horizontal="center"/>
    </xf>
    <xf numFmtId="0" fontId="112" fillId="48" borderId="22" xfId="0" applyFont="1" applyFill="1" applyBorder="1"/>
    <xf numFmtId="0" fontId="103" fillId="48" borderId="22" xfId="0" applyFont="1" applyFill="1" applyBorder="1" applyAlignment="1"/>
    <xf numFmtId="0" fontId="138" fillId="48" borderId="22" xfId="0" applyFont="1" applyFill="1" applyBorder="1" applyAlignment="1">
      <alignment horizontal="left"/>
    </xf>
    <xf numFmtId="0" fontId="103" fillId="48" borderId="22" xfId="0" applyFont="1" applyFill="1" applyBorder="1" applyAlignment="1">
      <alignment horizontal="left" indent="2"/>
    </xf>
    <xf numFmtId="0" fontId="188" fillId="48" borderId="22" xfId="0" applyFont="1" applyFill="1" applyBorder="1" applyAlignment="1">
      <alignment horizontal="left" indent="2"/>
    </xf>
    <xf numFmtId="0" fontId="103" fillId="48" borderId="22" xfId="0" applyFont="1" applyFill="1" applyBorder="1"/>
    <xf numFmtId="0" fontId="103" fillId="48" borderId="25" xfId="0" applyFont="1" applyFill="1" applyBorder="1"/>
    <xf numFmtId="0" fontId="136" fillId="0" borderId="20" xfId="0" applyFont="1" applyBorder="1"/>
    <xf numFmtId="0" fontId="105" fillId="34" borderId="41" xfId="0" applyFont="1" applyFill="1" applyBorder="1"/>
    <xf numFmtId="0" fontId="103" fillId="34" borderId="22" xfId="0" applyFont="1" applyFill="1" applyBorder="1"/>
    <xf numFmtId="0" fontId="103" fillId="49" borderId="22" xfId="0" applyFont="1" applyFill="1" applyBorder="1"/>
    <xf numFmtId="9" fontId="112" fillId="33" borderId="0" xfId="0" applyNumberFormat="1" applyFont="1" applyFill="1" applyBorder="1" applyAlignment="1">
      <alignment horizontal="center"/>
    </xf>
    <xf numFmtId="0" fontId="103" fillId="35" borderId="20" xfId="0" applyFont="1" applyFill="1" applyBorder="1"/>
    <xf numFmtId="0" fontId="103" fillId="35" borderId="28" xfId="0" applyFont="1" applyFill="1" applyBorder="1"/>
    <xf numFmtId="1" fontId="106" fillId="35" borderId="28" xfId="0" applyNumberFormat="1" applyFont="1" applyFill="1" applyBorder="1"/>
    <xf numFmtId="0" fontId="103" fillId="35" borderId="41" xfId="0" applyFont="1" applyFill="1" applyBorder="1"/>
    <xf numFmtId="0" fontId="147" fillId="35" borderId="22" xfId="0" applyFont="1" applyFill="1" applyBorder="1" applyAlignment="1">
      <alignment horizontal="left" vertical="top" indent="1"/>
    </xf>
    <xf numFmtId="0" fontId="112" fillId="35" borderId="23" xfId="0" applyFont="1" applyFill="1" applyBorder="1" applyAlignment="1">
      <alignment vertical="top"/>
    </xf>
    <xf numFmtId="0" fontId="103" fillId="33" borderId="22" xfId="0" applyFont="1" applyFill="1" applyBorder="1"/>
    <xf numFmtId="0" fontId="103" fillId="33" borderId="23" xfId="0" applyFont="1" applyFill="1" applyBorder="1"/>
    <xf numFmtId="0" fontId="112" fillId="33" borderId="23" xfId="0" applyFont="1" applyFill="1" applyBorder="1"/>
    <xf numFmtId="0" fontId="103" fillId="46" borderId="22" xfId="0" applyFont="1" applyFill="1" applyBorder="1"/>
    <xf numFmtId="0" fontId="103" fillId="46" borderId="23" xfId="0" applyFont="1" applyFill="1" applyBorder="1"/>
    <xf numFmtId="0" fontId="103" fillId="0" borderId="30" xfId="0" applyFont="1" applyBorder="1"/>
    <xf numFmtId="0" fontId="112" fillId="33" borderId="42" xfId="0" applyFont="1" applyFill="1" applyBorder="1"/>
    <xf numFmtId="0" fontId="103" fillId="46" borderId="21" xfId="0" applyFont="1" applyFill="1" applyBorder="1"/>
    <xf numFmtId="9" fontId="103" fillId="46" borderId="14" xfId="0" applyNumberFormat="1" applyFont="1" applyFill="1" applyBorder="1" applyAlignment="1">
      <alignment horizontal="center" vertical="center"/>
    </xf>
    <xf numFmtId="9" fontId="112" fillId="46" borderId="14" xfId="0" applyNumberFormat="1" applyFont="1" applyFill="1" applyBorder="1" applyAlignment="1">
      <alignment horizontal="center" vertical="center"/>
    </xf>
    <xf numFmtId="0" fontId="112" fillId="46" borderId="24" xfId="0" applyFont="1" applyFill="1" applyBorder="1"/>
    <xf numFmtId="0" fontId="136"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06" fillId="0" borderId="0" xfId="49" applyFont="1" applyAlignment="1">
      <alignment shrinkToFit="1"/>
    </xf>
    <xf numFmtId="0" fontId="105" fillId="0" borderId="0" xfId="49" applyFont="1"/>
    <xf numFmtId="0" fontId="107" fillId="0" borderId="0" xfId="49" applyFont="1"/>
    <xf numFmtId="1" fontId="106" fillId="0" borderId="22" xfId="49" applyNumberFormat="1" applyFont="1" applyBorder="1" applyAlignment="1">
      <alignment shrinkToFit="1"/>
    </xf>
    <xf numFmtId="0" fontId="109" fillId="0" borderId="0" xfId="49" applyFont="1"/>
    <xf numFmtId="0" fontId="111" fillId="0" borderId="64" xfId="49" applyFont="1" applyBorder="1" applyAlignment="1">
      <alignment horizontal="center"/>
    </xf>
    <xf numFmtId="0" fontId="106" fillId="0" borderId="22" xfId="49" applyFont="1" applyBorder="1" applyAlignment="1">
      <alignment shrinkToFit="1"/>
    </xf>
    <xf numFmtId="0" fontId="103" fillId="0" borderId="0" xfId="49" applyFont="1" applyAlignment="1">
      <alignment horizontal="left"/>
    </xf>
    <xf numFmtId="0" fontId="106" fillId="0" borderId="0" xfId="49" applyFont="1"/>
    <xf numFmtId="0" fontId="105" fillId="24" borderId="0" xfId="49" applyFont="1" applyFill="1"/>
    <xf numFmtId="1" fontId="110" fillId="0" borderId="64" xfId="49" applyNumberFormat="1" applyFont="1" applyBorder="1"/>
    <xf numFmtId="0" fontId="103" fillId="0" borderId="0" xfId="49" applyFont="1"/>
    <xf numFmtId="0" fontId="105" fillId="24" borderId="11" xfId="49" applyFont="1" applyFill="1" applyBorder="1"/>
    <xf numFmtId="0" fontId="123" fillId="0" borderId="0" xfId="49" applyFont="1"/>
    <xf numFmtId="0" fontId="18" fillId="0" borderId="0" xfId="49" applyFont="1" applyAlignment="1">
      <alignment horizontal="left"/>
    </xf>
    <xf numFmtId="0" fontId="141" fillId="0" borderId="0" xfId="49" applyFont="1"/>
    <xf numFmtId="0" fontId="106" fillId="0" borderId="0" xfId="49" applyFont="1" applyAlignment="1">
      <alignment horizontal="center"/>
    </xf>
    <xf numFmtId="164" fontId="103" fillId="0" borderId="0" xfId="49" applyNumberFormat="1" applyFont="1"/>
    <xf numFmtId="0" fontId="105" fillId="24" borderId="14" xfId="49" applyFont="1" applyFill="1" applyBorder="1"/>
    <xf numFmtId="0" fontId="113" fillId="0" borderId="0" xfId="49" applyFont="1"/>
    <xf numFmtId="0" fontId="105" fillId="0" borderId="11" xfId="49" applyFont="1" applyBorder="1"/>
    <xf numFmtId="0" fontId="104" fillId="0" borderId="0" xfId="49" applyFont="1"/>
    <xf numFmtId="164" fontId="104" fillId="0" borderId="0" xfId="49" applyNumberFormat="1" applyFont="1"/>
    <xf numFmtId="164" fontId="104" fillId="0" borderId="0" xfId="49" applyNumberFormat="1" applyFont="1" applyAlignment="1">
      <alignment horizontal="left" indent="6"/>
    </xf>
    <xf numFmtId="164" fontId="104" fillId="0" borderId="0" xfId="49" applyNumberFormat="1" applyFont="1" applyAlignment="1">
      <alignment horizontal="center"/>
    </xf>
    <xf numFmtId="164" fontId="104" fillId="0" borderId="10" xfId="49" applyNumberFormat="1" applyFont="1" applyBorder="1" applyAlignment="1">
      <alignment horizontal="left" indent="6"/>
    </xf>
    <xf numFmtId="38" fontId="105" fillId="25" borderId="23" xfId="49" applyNumberFormat="1" applyFont="1" applyFill="1" applyBorder="1"/>
    <xf numFmtId="164" fontId="104" fillId="24" borderId="0" xfId="49" applyNumberFormat="1" applyFont="1" applyFill="1" applyAlignment="1">
      <alignment horizontal="left" indent="6"/>
    </xf>
    <xf numFmtId="9" fontId="103" fillId="0" borderId="0" xfId="49" applyNumberFormat="1" applyFont="1" applyAlignment="1">
      <alignment horizontal="center"/>
    </xf>
    <xf numFmtId="3" fontId="104" fillId="0" borderId="0" xfId="49" applyNumberFormat="1" applyFont="1" applyAlignment="1">
      <alignment horizontal="center"/>
    </xf>
    <xf numFmtId="38" fontId="105" fillId="0" borderId="0" xfId="49" applyNumberFormat="1" applyFont="1"/>
    <xf numFmtId="38" fontId="105" fillId="24" borderId="0" xfId="49" applyNumberFormat="1" applyFont="1" applyFill="1"/>
    <xf numFmtId="38" fontId="110" fillId="0" borderId="64" xfId="49" applyNumberFormat="1" applyFont="1" applyBorder="1"/>
    <xf numFmtId="38" fontId="103" fillId="0" borderId="0" xfId="49" applyNumberFormat="1" applyFont="1" applyAlignment="1">
      <alignment horizontal="center"/>
    </xf>
    <xf numFmtId="38" fontId="105" fillId="24" borderId="11" xfId="49" applyNumberFormat="1" applyFont="1" applyFill="1" applyBorder="1"/>
    <xf numFmtId="0" fontId="104" fillId="0" borderId="0" xfId="49" applyFont="1" applyAlignment="1">
      <alignment horizontal="center"/>
    </xf>
    <xf numFmtId="0" fontId="113" fillId="0" borderId="0" xfId="49" applyFont="1" applyAlignment="1">
      <alignment horizontal="left"/>
    </xf>
    <xf numFmtId="38" fontId="105" fillId="0" borderId="64" xfId="49" applyNumberFormat="1" applyFont="1" applyBorder="1"/>
    <xf numFmtId="0" fontId="105" fillId="0" borderId="0" xfId="49" applyFont="1" applyAlignment="1">
      <alignment horizontal="center"/>
    </xf>
    <xf numFmtId="0" fontId="114" fillId="0" borderId="0" xfId="49" applyFont="1"/>
    <xf numFmtId="0" fontId="106" fillId="0" borderId="0" xfId="49" applyFont="1" applyAlignment="1">
      <alignment horizontal="left"/>
    </xf>
    <xf numFmtId="38" fontId="112" fillId="0" borderId="0" xfId="49" applyNumberFormat="1" applyFont="1" applyAlignment="1">
      <alignment horizontal="right"/>
    </xf>
    <xf numFmtId="38" fontId="105" fillId="0" borderId="0" xfId="49" applyNumberFormat="1" applyFont="1" applyAlignment="1">
      <alignment horizontal="center"/>
    </xf>
    <xf numFmtId="38" fontId="110" fillId="0" borderId="0" xfId="49" applyNumberFormat="1" applyFont="1"/>
    <xf numFmtId="38" fontId="110" fillId="0" borderId="65" xfId="49" applyNumberFormat="1" applyFont="1" applyBorder="1"/>
    <xf numFmtId="0" fontId="116" fillId="0" borderId="0" xfId="49" applyFont="1"/>
    <xf numFmtId="0" fontId="117" fillId="0" borderId="0" xfId="49" applyFont="1"/>
    <xf numFmtId="0" fontId="112" fillId="0" borderId="0" xfId="49" applyFont="1"/>
    <xf numFmtId="38" fontId="110" fillId="0" borderId="31" xfId="49" applyNumberFormat="1" applyFont="1" applyBorder="1"/>
    <xf numFmtId="38" fontId="105" fillId="25" borderId="0" xfId="49" applyNumberFormat="1" applyFont="1" applyFill="1"/>
    <xf numFmtId="0" fontId="122" fillId="0" borderId="0" xfId="49" applyFont="1"/>
    <xf numFmtId="0" fontId="110" fillId="0" borderId="0" xfId="49" applyFont="1" applyAlignment="1">
      <alignment vertical="center"/>
    </xf>
    <xf numFmtId="1" fontId="104" fillId="0" borderId="0" xfId="49" applyNumberFormat="1" applyFont="1" applyAlignment="1">
      <alignment horizontal="left"/>
    </xf>
    <xf numFmtId="38" fontId="104" fillId="0" borderId="0" xfId="49" applyNumberFormat="1" applyFont="1" applyAlignment="1">
      <alignment horizontal="left"/>
    </xf>
    <xf numFmtId="38" fontId="106" fillId="0" borderId="0" xfId="49" applyNumberFormat="1" applyFont="1" applyAlignment="1">
      <alignment horizontal="right"/>
    </xf>
    <xf numFmtId="38" fontId="110" fillId="0" borderId="66" xfId="49" applyNumberFormat="1" applyFont="1" applyBorder="1"/>
    <xf numFmtId="1" fontId="106" fillId="0" borderId="0" xfId="49" applyNumberFormat="1" applyFont="1"/>
    <xf numFmtId="0" fontId="110" fillId="0" borderId="0" xfId="49" applyFont="1"/>
    <xf numFmtId="0" fontId="112" fillId="0" borderId="0" xfId="49" applyFont="1" applyAlignment="1">
      <alignment horizontal="right"/>
    </xf>
    <xf numFmtId="38" fontId="112" fillId="0" borderId="0" xfId="49" applyNumberFormat="1" applyFont="1" applyAlignment="1">
      <alignment horizontal="center"/>
    </xf>
    <xf numFmtId="38" fontId="103" fillId="0" borderId="64" xfId="49" applyNumberFormat="1" applyFont="1" applyBorder="1"/>
    <xf numFmtId="38" fontId="192" fillId="0" borderId="0" xfId="49" applyNumberFormat="1" applyFont="1" applyAlignment="1">
      <alignment horizontal="center"/>
    </xf>
    <xf numFmtId="15" fontId="44" fillId="0" borderId="0" xfId="49" applyNumberFormat="1" applyFont="1" applyAlignment="1">
      <alignment horizontal="center" shrinkToFit="1"/>
    </xf>
    <xf numFmtId="1" fontId="33" fillId="31" borderId="0" xfId="49" applyNumberFormat="1" applyFont="1" applyFill="1" applyAlignment="1">
      <alignment horizontal="center" shrinkToFit="1"/>
    </xf>
    <xf numFmtId="0" fontId="103" fillId="0" borderId="0" xfId="49" applyFont="1" applyAlignment="1">
      <alignment horizontal="center"/>
    </xf>
    <xf numFmtId="1" fontId="105" fillId="0" borderId="0" xfId="49" applyNumberFormat="1" applyFont="1"/>
    <xf numFmtId="38" fontId="118" fillId="0" borderId="0" xfId="49" applyNumberFormat="1" applyFont="1" applyAlignment="1">
      <alignment horizontal="right"/>
    </xf>
    <xf numFmtId="38" fontId="106" fillId="0" borderId="0" xfId="49" applyNumberFormat="1" applyFont="1"/>
    <xf numFmtId="38" fontId="105" fillId="0" borderId="11" xfId="49" applyNumberFormat="1" applyFont="1" applyBorder="1" applyAlignment="1">
      <alignment horizontal="right"/>
    </xf>
    <xf numFmtId="38" fontId="105" fillId="0" borderId="64" xfId="49" applyNumberFormat="1" applyFont="1" applyBorder="1" applyAlignment="1">
      <alignment horizontal="right"/>
    </xf>
    <xf numFmtId="9" fontId="106" fillId="0" borderId="0" xfId="49" applyNumberFormat="1" applyFont="1" applyAlignment="1">
      <alignment horizontal="center"/>
    </xf>
    <xf numFmtId="0" fontId="118" fillId="0" borderId="0" xfId="49" applyFont="1" applyAlignment="1">
      <alignment horizontal="right"/>
    </xf>
    <xf numFmtId="38" fontId="105" fillId="0" borderId="0" xfId="49" applyNumberFormat="1" applyFont="1" applyAlignment="1">
      <alignment horizontal="right"/>
    </xf>
    <xf numFmtId="38" fontId="105" fillId="0" borderId="67" xfId="49" applyNumberFormat="1" applyFont="1" applyBorder="1" applyAlignment="1">
      <alignment horizontal="right"/>
    </xf>
    <xf numFmtId="38" fontId="106" fillId="0" borderId="14" xfId="49" applyNumberFormat="1" applyFont="1" applyBorder="1"/>
    <xf numFmtId="38" fontId="106" fillId="0" borderId="12" xfId="49" applyNumberFormat="1" applyFont="1" applyBorder="1"/>
    <xf numFmtId="0" fontId="104" fillId="0" borderId="0" xfId="49" applyFont="1" applyAlignment="1">
      <alignment horizontal="left"/>
    </xf>
    <xf numFmtId="38" fontId="110" fillId="0" borderId="64" xfId="49" applyNumberFormat="1" applyFont="1" applyBorder="1" applyAlignment="1">
      <alignment horizontal="right"/>
    </xf>
    <xf numFmtId="14" fontId="104" fillId="0" borderId="0" xfId="49" applyNumberFormat="1" applyFont="1"/>
    <xf numFmtId="14" fontId="119" fillId="0" borderId="0" xfId="49" applyNumberFormat="1" applyFont="1" applyAlignment="1">
      <alignment horizontal="center" shrinkToFit="1"/>
    </xf>
    <xf numFmtId="38" fontId="119" fillId="0" borderId="0" xfId="49" applyNumberFormat="1" applyFont="1" applyAlignment="1">
      <alignment horizontal="left" shrinkToFit="1"/>
    </xf>
    <xf numFmtId="1" fontId="137" fillId="0" borderId="0" xfId="49" applyNumberFormat="1" applyFont="1" applyAlignment="1">
      <alignment horizontal="center"/>
    </xf>
    <xf numFmtId="0" fontId="106" fillId="0" borderId="30" xfId="49" applyFont="1" applyBorder="1" applyAlignment="1">
      <alignment shrinkToFit="1"/>
    </xf>
    <xf numFmtId="0" fontId="105" fillId="0" borderId="27" xfId="49" applyFont="1" applyBorder="1"/>
    <xf numFmtId="0" fontId="119" fillId="0" borderId="27" xfId="49" applyFont="1" applyBorder="1" applyAlignment="1">
      <alignment horizontal="left" shrinkToFit="1"/>
    </xf>
    <xf numFmtId="14" fontId="119" fillId="0" borderId="27" xfId="49" applyNumberFormat="1" applyFont="1" applyBorder="1" applyAlignment="1">
      <alignment horizontal="center" shrinkToFit="1"/>
    </xf>
    <xf numFmtId="38" fontId="119" fillId="0" borderId="27" xfId="49" applyNumberFormat="1" applyFont="1" applyBorder="1" applyAlignment="1">
      <alignment horizontal="left" shrinkToFit="1"/>
    </xf>
    <xf numFmtId="38" fontId="105" fillId="0" borderId="27" xfId="49" applyNumberFormat="1" applyFont="1" applyBorder="1"/>
    <xf numFmtId="38" fontId="110" fillId="0" borderId="68" xfId="49" applyNumberFormat="1" applyFont="1" applyBorder="1"/>
    <xf numFmtId="1" fontId="106" fillId="0" borderId="25" xfId="49" applyNumberFormat="1" applyFont="1" applyBorder="1" applyAlignment="1">
      <alignment shrinkToFit="1"/>
    </xf>
    <xf numFmtId="0" fontId="110" fillId="0" borderId="27" xfId="49" applyFont="1" applyBorder="1"/>
    <xf numFmtId="0" fontId="105" fillId="0" borderId="27" xfId="49" applyFont="1" applyBorder="1" applyAlignment="1">
      <alignment horizontal="center"/>
    </xf>
    <xf numFmtId="38" fontId="104" fillId="0" borderId="27" xfId="49" applyNumberFormat="1" applyFont="1" applyBorder="1" applyAlignment="1">
      <alignment horizontal="left"/>
    </xf>
    <xf numFmtId="38" fontId="105" fillId="0" borderId="26" xfId="49" applyNumberFormat="1" applyFont="1" applyBorder="1" applyAlignment="1">
      <alignment horizontal="center"/>
    </xf>
    <xf numFmtId="38" fontId="110" fillId="0" borderId="51" xfId="49" applyNumberFormat="1" applyFont="1" applyBorder="1"/>
    <xf numFmtId="0" fontId="103" fillId="0" borderId="12" xfId="49" applyFont="1" applyBorder="1"/>
    <xf numFmtId="1" fontId="106" fillId="0" borderId="30" xfId="49" applyNumberFormat="1" applyFont="1" applyBorder="1" applyAlignment="1">
      <alignment shrinkToFit="1"/>
    </xf>
    <xf numFmtId="14" fontId="105" fillId="0" borderId="27" xfId="49" applyNumberFormat="1" applyFont="1" applyBorder="1"/>
    <xf numFmtId="0" fontId="16" fillId="0" borderId="0" xfId="49" applyFont="1"/>
    <xf numFmtId="0" fontId="15" fillId="0" borderId="0" xfId="49" applyFont="1" applyAlignment="1">
      <alignment horizontal="right"/>
    </xf>
    <xf numFmtId="0" fontId="105" fillId="0" borderId="12" xfId="49" applyFont="1" applyBorder="1"/>
    <xf numFmtId="38" fontId="110" fillId="0" borderId="12" xfId="49" applyNumberFormat="1" applyFont="1" applyBorder="1"/>
    <xf numFmtId="38" fontId="105" fillId="0" borderId="14" xfId="49" applyNumberFormat="1" applyFont="1" applyBorder="1"/>
    <xf numFmtId="38" fontId="106" fillId="0" borderId="0" xfId="49" applyNumberFormat="1" applyFont="1" applyAlignment="1">
      <alignment vertical="top"/>
    </xf>
    <xf numFmtId="0" fontId="177" fillId="0" borderId="0" xfId="49" applyFont="1" applyAlignment="1">
      <alignment horizontal="left" indent="1"/>
    </xf>
    <xf numFmtId="37" fontId="110" fillId="0" borderId="12" xfId="49" applyNumberFormat="1" applyFont="1" applyBorder="1"/>
    <xf numFmtId="37" fontId="105" fillId="0" borderId="12" xfId="49" applyNumberFormat="1" applyFont="1" applyBorder="1"/>
    <xf numFmtId="0" fontId="145" fillId="35" borderId="56" xfId="49" applyFont="1" applyFill="1" applyBorder="1" applyAlignment="1">
      <alignment horizontal="center"/>
    </xf>
    <xf numFmtId="0" fontId="105" fillId="49" borderId="61" xfId="49" applyFont="1" applyFill="1" applyBorder="1" applyAlignment="1">
      <alignment horizontal="center"/>
    </xf>
    <xf numFmtId="0" fontId="105" fillId="49" borderId="62" xfId="49" applyFont="1" applyFill="1" applyBorder="1" applyAlignment="1">
      <alignment horizontal="center"/>
    </xf>
    <xf numFmtId="0" fontId="105" fillId="49" borderId="63" xfId="49" applyFont="1" applyFill="1" applyBorder="1" applyAlignment="1">
      <alignment horizontal="center"/>
    </xf>
    <xf numFmtId="0" fontId="105" fillId="0" borderId="0" xfId="49" applyFont="1" applyAlignment="1">
      <alignment horizontal="left" indent="3"/>
    </xf>
    <xf numFmtId="37" fontId="136" fillId="0" borderId="0" xfId="49" applyNumberFormat="1" applyFont="1"/>
    <xf numFmtId="0" fontId="136" fillId="0" borderId="0" xfId="49" applyFont="1"/>
    <xf numFmtId="0" fontId="105" fillId="35" borderId="22" xfId="49" applyFont="1" applyFill="1" applyBorder="1" applyAlignment="1">
      <alignment horizontal="center"/>
    </xf>
    <xf numFmtId="0" fontId="105" fillId="35" borderId="0" xfId="49" applyFont="1" applyFill="1" applyAlignment="1">
      <alignment horizontal="center"/>
    </xf>
    <xf numFmtId="0" fontId="105" fillId="35" borderId="23" xfId="49" applyFont="1" applyFill="1" applyBorder="1" applyAlignment="1">
      <alignment horizontal="center"/>
    </xf>
    <xf numFmtId="0" fontId="105" fillId="35" borderId="30" xfId="49" applyFont="1" applyFill="1" applyBorder="1" applyAlignment="1">
      <alignment horizontal="center"/>
    </xf>
    <xf numFmtId="0" fontId="105" fillId="35" borderId="27" xfId="49" applyFont="1" applyFill="1" applyBorder="1" applyAlignment="1">
      <alignment horizontal="center"/>
    </xf>
    <xf numFmtId="0" fontId="105" fillId="35" borderId="42" xfId="49" applyFont="1" applyFill="1" applyBorder="1" applyAlignment="1">
      <alignment horizontal="center"/>
    </xf>
    <xf numFmtId="0" fontId="148" fillId="0" borderId="0" xfId="49" applyFont="1"/>
    <xf numFmtId="37" fontId="135" fillId="0" borderId="0" xfId="49" applyNumberFormat="1" applyFont="1"/>
    <xf numFmtId="0" fontId="178" fillId="0" borderId="12" xfId="49" applyFont="1" applyBorder="1" applyAlignment="1">
      <alignment horizontal="left" indent="1"/>
    </xf>
    <xf numFmtId="0" fontId="164" fillId="0" borderId="0" xfId="49" applyFont="1"/>
    <xf numFmtId="0" fontId="105" fillId="0" borderId="0" xfId="49" applyFont="1" applyAlignment="1">
      <alignment horizontal="left" indent="1"/>
    </xf>
    <xf numFmtId="38" fontId="136" fillId="0" borderId="0" xfId="49" applyNumberFormat="1" applyFont="1"/>
    <xf numFmtId="38" fontId="189" fillId="0" borderId="0" xfId="49" applyNumberFormat="1" applyFont="1"/>
    <xf numFmtId="38" fontId="105" fillId="0" borderId="12" xfId="49" applyNumberFormat="1" applyFont="1" applyBorder="1"/>
    <xf numFmtId="38" fontId="5" fillId="0" borderId="0" xfId="49" applyNumberFormat="1"/>
    <xf numFmtId="9" fontId="5" fillId="0" borderId="0" xfId="49" applyNumberFormat="1" applyAlignment="1">
      <alignment horizontal="center"/>
    </xf>
    <xf numFmtId="0" fontId="18" fillId="0" borderId="0" xfId="49" applyFont="1"/>
    <xf numFmtId="0" fontId="18" fillId="0" borderId="0" xfId="49" applyFont="1" applyAlignment="1">
      <alignment vertical="top"/>
    </xf>
    <xf numFmtId="9" fontId="105" fillId="0" borderId="0" xfId="49" applyNumberFormat="1" applyFont="1" applyAlignment="1">
      <alignment horizontal="center"/>
    </xf>
    <xf numFmtId="38" fontId="163" fillId="0" borderId="12" xfId="49" applyNumberFormat="1" applyFont="1" applyBorder="1"/>
    <xf numFmtId="0" fontId="136" fillId="51" borderId="0" xfId="49" applyFont="1" applyFill="1" applyAlignment="1">
      <alignment horizontal="left"/>
    </xf>
    <xf numFmtId="0" fontId="111" fillId="0" borderId="69" xfId="0" applyFont="1" applyBorder="1" applyAlignment="1">
      <alignment horizontal="center"/>
    </xf>
    <xf numFmtId="1" fontId="110" fillId="0" borderId="64" xfId="0" applyNumberFormat="1" applyFont="1" applyBorder="1"/>
    <xf numFmtId="1" fontId="110" fillId="0" borderId="64" xfId="0" applyNumberFormat="1" applyFont="1" applyFill="1" applyBorder="1"/>
    <xf numFmtId="0" fontId="105" fillId="0" borderId="64" xfId="0" applyFont="1" applyBorder="1"/>
    <xf numFmtId="1" fontId="110" fillId="0" borderId="65" xfId="0" applyNumberFormat="1" applyFont="1" applyBorder="1"/>
    <xf numFmtId="1" fontId="110" fillId="0" borderId="66" xfId="0" applyNumberFormat="1" applyFont="1" applyBorder="1"/>
    <xf numFmtId="0" fontId="103" fillId="0" borderId="64" xfId="0" applyFont="1" applyBorder="1"/>
    <xf numFmtId="1" fontId="105" fillId="0" borderId="64" xfId="0" applyNumberFormat="1" applyFont="1" applyBorder="1" applyAlignment="1">
      <alignment horizontal="right"/>
    </xf>
    <xf numFmtId="1" fontId="105" fillId="0" borderId="67" xfId="0" applyNumberFormat="1" applyFont="1" applyBorder="1" applyAlignment="1">
      <alignment horizontal="right"/>
    </xf>
    <xf numFmtId="0" fontId="105" fillId="0" borderId="67" xfId="0" applyFont="1" applyBorder="1" applyAlignment="1">
      <alignment horizontal="right"/>
    </xf>
    <xf numFmtId="1" fontId="110" fillId="0" borderId="64" xfId="0" applyNumberFormat="1" applyFont="1" applyBorder="1" applyAlignment="1">
      <alignment horizontal="right"/>
    </xf>
    <xf numFmtId="1" fontId="110" fillId="0" borderId="64" xfId="0" applyNumberFormat="1" applyFont="1" applyFill="1" applyBorder="1" applyAlignment="1"/>
    <xf numFmtId="1" fontId="110" fillId="0" borderId="68" xfId="0" applyNumberFormat="1" applyFont="1" applyBorder="1"/>
    <xf numFmtId="1" fontId="110" fillId="0" borderId="51" xfId="0" applyNumberFormat="1" applyFont="1" applyBorder="1"/>
    <xf numFmtId="1" fontId="106" fillId="0" borderId="30" xfId="0" applyNumberFormat="1" applyFont="1" applyBorder="1" applyAlignment="1">
      <alignment shrinkToFit="1"/>
    </xf>
    <xf numFmtId="0" fontId="176" fillId="0" borderId="27" xfId="0" applyFont="1" applyBorder="1" applyAlignment="1">
      <alignment horizontal="center"/>
    </xf>
    <xf numFmtId="0" fontId="141" fillId="0" borderId="42" xfId="0" applyFont="1" applyBorder="1" applyAlignment="1">
      <alignment horizontal="center"/>
    </xf>
    <xf numFmtId="1" fontId="194" fillId="0" borderId="0" xfId="51" applyNumberFormat="1" applyFont="1" applyFill="1" applyAlignment="1">
      <alignment horizontal="center"/>
    </xf>
    <xf numFmtId="14" fontId="195" fillId="0" borderId="0" xfId="0" applyNumberFormat="1" applyFont="1" applyAlignment="1">
      <alignment horizontal="center"/>
    </xf>
    <xf numFmtId="14" fontId="133" fillId="0" borderId="0" xfId="0" applyNumberFormat="1" applyFont="1" applyFill="1" applyBorder="1" applyAlignment="1">
      <alignment horizontal="center" vertical="center"/>
    </xf>
    <xf numFmtId="0" fontId="179" fillId="0" borderId="0" xfId="0" applyFont="1" applyFill="1" applyBorder="1" applyAlignment="1">
      <alignment horizontal="center"/>
    </xf>
    <xf numFmtId="0" fontId="133" fillId="0" borderId="0" xfId="0" applyFont="1" applyFill="1" applyBorder="1"/>
    <xf numFmtId="0" fontId="110" fillId="49" borderId="32" xfId="0" applyFont="1" applyFill="1" applyBorder="1"/>
    <xf numFmtId="14" fontId="105" fillId="49" borderId="16" xfId="0" applyNumberFormat="1" applyFont="1" applyFill="1" applyBorder="1" applyAlignment="1">
      <alignment horizontal="center"/>
    </xf>
    <xf numFmtId="0" fontId="105" fillId="49" borderId="16" xfId="0" applyFont="1" applyFill="1" applyBorder="1"/>
    <xf numFmtId="0" fontId="105" fillId="49" borderId="35" xfId="0" applyFont="1" applyFill="1" applyBorder="1"/>
    <xf numFmtId="0" fontId="105" fillId="49" borderId="15" xfId="0" applyFont="1" applyFill="1" applyBorder="1"/>
    <xf numFmtId="0" fontId="105" fillId="49" borderId="10" xfId="0" applyFont="1" applyFill="1" applyBorder="1"/>
    <xf numFmtId="0" fontId="105" fillId="35" borderId="15" xfId="0" applyFont="1" applyFill="1" applyBorder="1"/>
    <xf numFmtId="0" fontId="133" fillId="35" borderId="10" xfId="0" applyFont="1" applyFill="1" applyBorder="1"/>
    <xf numFmtId="0" fontId="105" fillId="47" borderId="15" xfId="0" applyFont="1" applyFill="1" applyBorder="1"/>
    <xf numFmtId="0" fontId="133" fillId="47" borderId="10" xfId="0" applyFont="1" applyFill="1" applyBorder="1"/>
    <xf numFmtId="0" fontId="105" fillId="47" borderId="18" xfId="0" applyFont="1" applyFill="1" applyBorder="1"/>
    <xf numFmtId="14" fontId="105" fillId="47" borderId="14" xfId="0" applyNumberFormat="1" applyFont="1" applyFill="1" applyBorder="1" applyAlignment="1">
      <alignment horizontal="center"/>
    </xf>
    <xf numFmtId="0" fontId="105" fillId="47" borderId="14" xfId="0" applyFont="1" applyFill="1" applyBorder="1"/>
    <xf numFmtId="0" fontId="105" fillId="47" borderId="11" xfId="0" applyFont="1" applyFill="1" applyBorder="1"/>
    <xf numFmtId="14" fontId="119" fillId="49" borderId="28" xfId="0" applyNumberFormat="1" applyFont="1" applyFill="1" applyBorder="1" applyAlignment="1">
      <alignment horizontal="center"/>
    </xf>
    <xf numFmtId="0" fontId="195" fillId="0" borderId="0" xfId="0" applyFont="1" applyAlignment="1">
      <alignment horizontal="center"/>
    </xf>
    <xf numFmtId="0" fontId="195" fillId="0" borderId="0" xfId="0" applyFont="1" applyFill="1" applyBorder="1"/>
    <xf numFmtId="0" fontId="195" fillId="0" borderId="11" xfId="0" applyFont="1" applyBorder="1"/>
    <xf numFmtId="14" fontId="133" fillId="35" borderId="0" xfId="0" applyNumberFormat="1" applyFont="1" applyFill="1" applyBorder="1" applyAlignment="1">
      <alignment horizontal="center" vertical="center"/>
    </xf>
    <xf numFmtId="0" fontId="106" fillId="0" borderId="0" xfId="0" applyFont="1" applyBorder="1" applyAlignment="1"/>
    <xf numFmtId="14" fontId="131" fillId="0" borderId="0" xfId="49" applyNumberFormat="1" applyFont="1"/>
    <xf numFmtId="0" fontId="103" fillId="0" borderId="12" xfId="0" applyFont="1" applyBorder="1"/>
    <xf numFmtId="14" fontId="163" fillId="0" borderId="0" xfId="0" applyNumberFormat="1" applyFont="1"/>
    <xf numFmtId="0" fontId="197" fillId="0" borderId="0" xfId="49" applyFont="1"/>
    <xf numFmtId="0" fontId="141" fillId="0" borderId="27" xfId="49" applyFont="1" applyBorder="1" applyAlignment="1">
      <alignment horizontal="left"/>
    </xf>
    <xf numFmtId="164" fontId="179" fillId="0" borderId="0" xfId="49" applyNumberFormat="1" applyFont="1"/>
    <xf numFmtId="0" fontId="106" fillId="0" borderId="0" xfId="0" applyFont="1" applyAlignment="1">
      <alignment shrinkToFit="1"/>
    </xf>
    <xf numFmtId="1" fontId="16" fillId="0" borderId="0" xfId="49" applyNumberFormat="1" applyFont="1" applyAlignment="1">
      <alignment horizontal="center" vertical="center" wrapText="1"/>
    </xf>
    <xf numFmtId="0" fontId="106" fillId="0" borderId="0" xfId="0" applyFont="1" applyAlignment="1">
      <alignment horizontal="center" shrinkToFit="1"/>
    </xf>
    <xf numFmtId="0" fontId="106" fillId="0" borderId="27" xfId="0" applyFont="1" applyBorder="1" applyAlignment="1">
      <alignment shrinkToFit="1"/>
    </xf>
    <xf numFmtId="0" fontId="198" fillId="0" borderId="0" xfId="49" applyFont="1"/>
    <xf numFmtId="0" fontId="158" fillId="0" borderId="0" xfId="0" applyFont="1" applyAlignment="1">
      <alignment horizontal="center"/>
    </xf>
    <xf numFmtId="0" fontId="16" fillId="0" borderId="0" xfId="49" applyFont="1" applyAlignment="1">
      <alignment horizontal="center" vertical="center"/>
    </xf>
    <xf numFmtId="1" fontId="16" fillId="0" borderId="0" xfId="49" applyNumberFormat="1" applyFont="1" applyAlignment="1">
      <alignment horizontal="center" vertical="center"/>
    </xf>
    <xf numFmtId="166" fontId="16" fillId="0" borderId="0" xfId="49" applyNumberFormat="1" applyFont="1" applyAlignment="1">
      <alignment horizontal="center"/>
    </xf>
    <xf numFmtId="1" fontId="16" fillId="46" borderId="0" xfId="49" applyNumberFormat="1" applyFont="1" applyFill="1"/>
    <xf numFmtId="1" fontId="16" fillId="0" borderId="0" xfId="49" applyNumberFormat="1" applyFont="1"/>
    <xf numFmtId="1" fontId="16" fillId="0" borderId="0" xfId="49" applyNumberFormat="1" applyFont="1" applyAlignment="1">
      <alignment horizontal="center"/>
    </xf>
    <xf numFmtId="0" fontId="158" fillId="0" borderId="0" xfId="0" applyFont="1"/>
    <xf numFmtId="1" fontId="158" fillId="0" borderId="0" xfId="0" applyNumberFormat="1" applyFont="1" applyAlignment="1">
      <alignment horizontal="center"/>
    </xf>
    <xf numFmtId="2" fontId="16" fillId="0" borderId="0" xfId="49" applyNumberFormat="1" applyFont="1"/>
    <xf numFmtId="1" fontId="106" fillId="0" borderId="0" xfId="0" applyNumberFormat="1" applyFont="1"/>
    <xf numFmtId="1" fontId="15" fillId="0" borderId="12" xfId="49" applyNumberFormat="1" applyFont="1" applyBorder="1"/>
    <xf numFmtId="1" fontId="15" fillId="32" borderId="12" xfId="49" applyNumberFormat="1" applyFont="1" applyFill="1" applyBorder="1" applyAlignment="1">
      <alignment horizontal="center"/>
    </xf>
    <xf numFmtId="0" fontId="16" fillId="0" borderId="27" xfId="49" applyFont="1" applyBorder="1"/>
    <xf numFmtId="1" fontId="15" fillId="0" borderId="27" xfId="49" applyNumberFormat="1" applyFont="1" applyBorder="1"/>
    <xf numFmtId="0" fontId="200" fillId="0" borderId="0" xfId="49" applyFont="1"/>
    <xf numFmtId="2" fontId="15" fillId="0" borderId="0" xfId="49" applyNumberFormat="1" applyFont="1"/>
    <xf numFmtId="0" fontId="16" fillId="0" borderId="0" xfId="49" applyFont="1" applyAlignment="1">
      <alignment horizontal="center"/>
    </xf>
    <xf numFmtId="17" fontId="16" fillId="0" borderId="0" xfId="49" applyNumberFormat="1" applyFont="1" applyAlignment="1">
      <alignment horizontal="center"/>
    </xf>
    <xf numFmtId="0" fontId="16" fillId="0" borderId="0" xfId="49" applyFont="1" applyAlignment="1">
      <alignment horizontal="left" indent="1"/>
    </xf>
    <xf numFmtId="1" fontId="16" fillId="0" borderId="12" xfId="49" applyNumberFormat="1" applyFont="1" applyBorder="1"/>
    <xf numFmtId="9" fontId="192" fillId="0" borderId="0" xfId="49" applyNumberFormat="1" applyFont="1" applyAlignment="1">
      <alignment horizontal="center"/>
    </xf>
    <xf numFmtId="0" fontId="192" fillId="0" borderId="0" xfId="0" applyFont="1" applyAlignment="1">
      <alignment horizontal="center"/>
    </xf>
    <xf numFmtId="1" fontId="192" fillId="0" borderId="0" xfId="0" applyNumberFormat="1" applyFont="1" applyAlignment="1">
      <alignment horizontal="center"/>
    </xf>
    <xf numFmtId="1" fontId="14" fillId="0" borderId="0" xfId="49" applyNumberFormat="1" applyFont="1" applyAlignment="1">
      <alignment horizontal="left"/>
    </xf>
    <xf numFmtId="2" fontId="15" fillId="0" borderId="0" xfId="49" applyNumberFormat="1" applyFont="1" applyAlignment="1">
      <alignment horizontal="center"/>
    </xf>
    <xf numFmtId="1" fontId="16" fillId="0" borderId="0" xfId="49" applyNumberFormat="1" applyFont="1" applyAlignment="1">
      <alignment horizontal="right"/>
    </xf>
    <xf numFmtId="0" fontId="106" fillId="0" borderId="27" xfId="0" applyFont="1" applyBorder="1"/>
    <xf numFmtId="1" fontId="16" fillId="0" borderId="27" xfId="49" applyNumberFormat="1" applyFont="1" applyBorder="1" applyAlignment="1">
      <alignment horizontal="right"/>
    </xf>
    <xf numFmtId="1" fontId="16" fillId="0" borderId="27" xfId="49" applyNumberFormat="1" applyFont="1" applyBorder="1"/>
    <xf numFmtId="2" fontId="15" fillId="0" borderId="27" xfId="49" applyNumberFormat="1" applyFont="1" applyBorder="1" applyAlignment="1">
      <alignment horizontal="center"/>
    </xf>
    <xf numFmtId="14" fontId="16" fillId="0" borderId="0" xfId="49" applyNumberFormat="1" applyFont="1" applyAlignment="1">
      <alignment horizontal="center"/>
    </xf>
    <xf numFmtId="0" fontId="201" fillId="0" borderId="0" xfId="0" applyFont="1" applyAlignment="1">
      <alignment horizontal="center"/>
    </xf>
    <xf numFmtId="1" fontId="201" fillId="0" borderId="0" xfId="0" applyNumberFormat="1" applyFont="1" applyAlignment="1">
      <alignment horizontal="center"/>
    </xf>
    <xf numFmtId="0" fontId="202" fillId="49" borderId="0" xfId="49" applyFont="1" applyFill="1"/>
    <xf numFmtId="0" fontId="199" fillId="0" borderId="0" xfId="49" applyFont="1"/>
    <xf numFmtId="2" fontId="51" fillId="0" borderId="0" xfId="49" applyNumberFormat="1" applyFont="1"/>
    <xf numFmtId="0" fontId="104" fillId="0" borderId="0" xfId="0" applyFont="1"/>
    <xf numFmtId="166" fontId="131" fillId="46" borderId="0" xfId="49" applyNumberFormat="1" applyFont="1" applyFill="1" applyAlignment="1">
      <alignment horizontal="center"/>
    </xf>
    <xf numFmtId="1" fontId="15" fillId="0" borderId="12" xfId="49" applyNumberFormat="1" applyFont="1" applyBorder="1" applyAlignment="1">
      <alignment horizontal="center"/>
    </xf>
    <xf numFmtId="17" fontId="192" fillId="0" borderId="0" xfId="0" applyNumberFormat="1" applyFont="1" applyAlignment="1">
      <alignment horizontal="center"/>
    </xf>
    <xf numFmtId="1" fontId="18" fillId="0" borderId="0" xfId="49" applyNumberFormat="1" applyFont="1"/>
    <xf numFmtId="1" fontId="18" fillId="0" borderId="12" xfId="49" applyNumberFormat="1" applyFont="1" applyBorder="1"/>
    <xf numFmtId="0" fontId="14" fillId="0" borderId="0" xfId="49" applyFont="1" applyAlignment="1">
      <alignment horizontal="right"/>
    </xf>
    <xf numFmtId="1" fontId="16" fillId="0" borderId="0" xfId="49" applyNumberFormat="1" applyFont="1" applyAlignment="1">
      <alignment horizontal="left"/>
    </xf>
    <xf numFmtId="17" fontId="131" fillId="0" borderId="0" xfId="49" applyNumberFormat="1" applyFont="1" applyAlignment="1">
      <alignment horizontal="center"/>
    </xf>
    <xf numFmtId="17" fontId="106" fillId="0" borderId="0" xfId="0" applyNumberFormat="1" applyFont="1" applyAlignment="1">
      <alignment horizontal="center"/>
    </xf>
    <xf numFmtId="2" fontId="158" fillId="0" borderId="0" xfId="49" applyNumberFormat="1" applyFont="1" applyAlignment="1">
      <alignment horizontal="center"/>
    </xf>
    <xf numFmtId="1" fontId="44" fillId="49" borderId="0" xfId="49" applyNumberFormat="1" applyFont="1" applyFill="1"/>
    <xf numFmtId="0" fontId="44" fillId="49" borderId="0" xfId="49" applyFont="1" applyFill="1"/>
    <xf numFmtId="0" fontId="20" fillId="49" borderId="0" xfId="49" applyFont="1" applyFill="1"/>
    <xf numFmtId="0" fontId="106" fillId="0" borderId="34" xfId="49" applyFont="1" applyBorder="1" applyAlignment="1">
      <alignment shrinkToFit="1"/>
    </xf>
    <xf numFmtId="0" fontId="105" fillId="0" borderId="34" xfId="49" applyFont="1" applyBorder="1"/>
    <xf numFmtId="1" fontId="203" fillId="0" borderId="0" xfId="49" applyNumberFormat="1" applyFont="1"/>
    <xf numFmtId="0" fontId="16" fillId="0" borderId="0" xfId="49" applyFont="1" applyAlignment="1">
      <alignment horizontal="left" indent="2"/>
    </xf>
    <xf numFmtId="0" fontId="204" fillId="0" borderId="0" xfId="49" applyFont="1"/>
    <xf numFmtId="166" fontId="123" fillId="0" borderId="0" xfId="49" applyNumberFormat="1" applyFont="1" applyFill="1" applyAlignment="1">
      <alignment horizontal="center"/>
    </xf>
    <xf numFmtId="0" fontId="106" fillId="0" borderId="0" xfId="0" applyFont="1" applyFill="1"/>
    <xf numFmtId="1" fontId="136" fillId="0" borderId="64" xfId="0" applyNumberFormat="1" applyFont="1" applyBorder="1" applyAlignment="1">
      <alignment horizontal="right"/>
    </xf>
    <xf numFmtId="1" fontId="135" fillId="0" borderId="67" xfId="0" applyNumberFormat="1" applyFont="1" applyBorder="1" applyAlignment="1">
      <alignment horizontal="right"/>
    </xf>
    <xf numFmtId="14" fontId="205" fillId="0" borderId="0" xfId="0" applyNumberFormat="1" applyFont="1" applyFill="1" applyBorder="1" applyAlignment="1">
      <alignment horizontal="center" vertical="center"/>
    </xf>
    <xf numFmtId="170" fontId="103" fillId="0" borderId="0" xfId="49" applyNumberFormat="1" applyFont="1"/>
    <xf numFmtId="14" fontId="142" fillId="0" borderId="0" xfId="0" applyNumberFormat="1" applyFont="1" applyFill="1" applyBorder="1" applyAlignment="1">
      <alignment horizontal="center" vertical="center"/>
    </xf>
    <xf numFmtId="2" fontId="106" fillId="0" borderId="0" xfId="49" applyNumberFormat="1" applyFont="1" applyAlignment="1">
      <alignment horizontal="center"/>
    </xf>
    <xf numFmtId="2" fontId="201" fillId="0" borderId="0" xfId="49" applyNumberFormat="1" applyFont="1" applyAlignment="1">
      <alignment horizontal="center"/>
    </xf>
    <xf numFmtId="14" fontId="131" fillId="0" borderId="0" xfId="49" applyNumberFormat="1" applyFont="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0" fontId="135" fillId="34" borderId="0" xfId="0" applyFont="1" applyFill="1" applyBorder="1"/>
    <xf numFmtId="14" fontId="111" fillId="49" borderId="0" xfId="0" applyNumberFormat="1" applyFont="1" applyFill="1" applyBorder="1" applyAlignment="1">
      <alignment horizontal="center"/>
    </xf>
    <xf numFmtId="0" fontId="103" fillId="49" borderId="58" xfId="0" applyFont="1" applyFill="1" applyBorder="1"/>
    <xf numFmtId="14" fontId="111" fillId="49" borderId="34" xfId="0" applyNumberFormat="1" applyFont="1" applyFill="1" applyBorder="1" applyAlignment="1">
      <alignment horizontal="center"/>
    </xf>
    <xf numFmtId="0" fontId="105" fillId="49" borderId="34" xfId="0" applyFont="1" applyFill="1" applyBorder="1"/>
    <xf numFmtId="0" fontId="105" fillId="49" borderId="60" xfId="0" applyFont="1" applyFill="1" applyBorder="1"/>
    <xf numFmtId="0" fontId="142" fillId="49" borderId="0" xfId="0" applyFont="1" applyFill="1" applyBorder="1"/>
    <xf numFmtId="0" fontId="142" fillId="49" borderId="34" xfId="0" applyFont="1" applyFill="1" applyBorder="1"/>
    <xf numFmtId="0" fontId="142" fillId="34" borderId="0" xfId="0" applyFont="1" applyFill="1" applyBorder="1"/>
    <xf numFmtId="0" fontId="105" fillId="0" borderId="0" xfId="49" applyFont="1" applyAlignment="1"/>
    <xf numFmtId="0" fontId="110" fillId="0" borderId="64" xfId="0" applyFont="1" applyBorder="1"/>
    <xf numFmtId="1" fontId="105" fillId="0" borderId="65" xfId="0" applyNumberFormat="1" applyFont="1" applyBorder="1"/>
    <xf numFmtId="0" fontId="147" fillId="0" borderId="0" xfId="0" applyFont="1" applyBorder="1" applyAlignment="1">
      <alignment horizontal="center"/>
    </xf>
    <xf numFmtId="1" fontId="110" fillId="0" borderId="69" xfId="0" applyNumberFormat="1" applyFont="1" applyBorder="1"/>
    <xf numFmtId="1" fontId="206" fillId="0" borderId="64" xfId="0" applyNumberFormat="1" applyFont="1" applyBorder="1" applyAlignment="1">
      <alignment horizontal="right"/>
    </xf>
    <xf numFmtId="1" fontId="136" fillId="0" borderId="67" xfId="0" applyNumberFormat="1" applyFont="1" applyBorder="1" applyAlignment="1">
      <alignment horizontal="right"/>
    </xf>
    <xf numFmtId="0" fontId="141" fillId="0" borderId="27" xfId="0" applyFont="1" applyBorder="1" applyAlignment="1">
      <alignment horizontal="center"/>
    </xf>
    <xf numFmtId="0" fontId="18" fillId="0" borderId="27" xfId="0" applyFont="1" applyFill="1" applyBorder="1"/>
    <xf numFmtId="0" fontId="195" fillId="0" borderId="0" xfId="0" applyFont="1"/>
    <xf numFmtId="9" fontId="105" fillId="0" borderId="0" xfId="0" applyNumberFormat="1" applyFont="1" applyFill="1" applyBorder="1" applyAlignment="1">
      <alignment horizontal="center"/>
    </xf>
    <xf numFmtId="0" fontId="103" fillId="0" borderId="12" xfId="0" applyFont="1" applyFill="1" applyBorder="1"/>
    <xf numFmtId="0" fontId="207" fillId="0" borderId="0" xfId="49" applyFont="1" applyAlignment="1">
      <alignment horizontal="center"/>
    </xf>
    <xf numFmtId="14" fontId="207" fillId="0" borderId="0" xfId="49" applyNumberFormat="1" applyFont="1" applyAlignment="1">
      <alignment horizontal="center"/>
    </xf>
    <xf numFmtId="10" fontId="105" fillId="0" borderId="0" xfId="49" applyNumberFormat="1" applyFont="1" applyAlignment="1">
      <alignment horizontal="center"/>
    </xf>
    <xf numFmtId="0" fontId="207" fillId="0" borderId="0" xfId="49" applyFont="1" applyAlignment="1">
      <alignment horizontal="left"/>
    </xf>
    <xf numFmtId="14" fontId="208" fillId="0" borderId="0" xfId="49" applyNumberFormat="1" applyFont="1" applyAlignment="1">
      <alignment horizontal="center"/>
    </xf>
    <xf numFmtId="10" fontId="209" fillId="0" borderId="0" xfId="49" applyNumberFormat="1" applyFont="1" applyAlignment="1">
      <alignment horizontal="center"/>
    </xf>
    <xf numFmtId="0" fontId="210" fillId="0" borderId="0" xfId="49" applyFont="1"/>
    <xf numFmtId="10" fontId="210" fillId="0" borderId="0" xfId="49" applyNumberFormat="1" applyFont="1" applyAlignment="1">
      <alignment horizontal="center"/>
    </xf>
    <xf numFmtId="0" fontId="131" fillId="0" borderId="0" xfId="49" applyFont="1" applyAlignment="1">
      <alignment horizontal="center"/>
    </xf>
    <xf numFmtId="0" fontId="211" fillId="0" borderId="0" xfId="49" applyFont="1" applyAlignment="1">
      <alignment horizontal="center"/>
    </xf>
    <xf numFmtId="0" fontId="210" fillId="0" borderId="0" xfId="49" applyFont="1" applyAlignment="1">
      <alignment horizontal="center"/>
    </xf>
    <xf numFmtId="0" fontId="211" fillId="0" borderId="0" xfId="0" applyFont="1" applyAlignment="1">
      <alignment horizontal="center"/>
    </xf>
    <xf numFmtId="14" fontId="211" fillId="0" borderId="0" xfId="49" applyNumberFormat="1" applyFont="1" applyAlignment="1">
      <alignment horizontal="center"/>
    </xf>
    <xf numFmtId="14" fontId="131" fillId="0" borderId="0" xfId="49" applyNumberFormat="1" applyFont="1" applyAlignment="1">
      <alignment horizontal="center"/>
    </xf>
    <xf numFmtId="0" fontId="18" fillId="0" borderId="12" xfId="49" applyFont="1" applyBorder="1"/>
    <xf numFmtId="0" fontId="5" fillId="0" borderId="12" xfId="49" applyBorder="1"/>
    <xf numFmtId="1" fontId="106" fillId="0" borderId="12" xfId="49" applyNumberFormat="1" applyFont="1" applyBorder="1"/>
    <xf numFmtId="1" fontId="123" fillId="0" borderId="0" xfId="0" applyNumberFormat="1" applyFont="1" applyAlignment="1">
      <alignment horizontal="center"/>
    </xf>
    <xf numFmtId="17" fontId="123" fillId="0" borderId="0" xfId="0" applyNumberFormat="1" applyFont="1" applyAlignment="1">
      <alignment horizontal="center"/>
    </xf>
    <xf numFmtId="17" fontId="123" fillId="0" borderId="0" xfId="49" applyNumberFormat="1" applyFont="1" applyAlignment="1">
      <alignment horizontal="right"/>
    </xf>
    <xf numFmtId="2" fontId="210" fillId="0" borderId="0" xfId="49" applyNumberFormat="1" applyFont="1" applyAlignment="1">
      <alignment horizontal="center"/>
    </xf>
    <xf numFmtId="0" fontId="210" fillId="0" borderId="0" xfId="0" applyFont="1" applyAlignment="1">
      <alignment horizontal="center"/>
    </xf>
    <xf numFmtId="17" fontId="210" fillId="0" borderId="0" xfId="0" applyNumberFormat="1" applyFont="1" applyAlignment="1">
      <alignment horizontal="center"/>
    </xf>
    <xf numFmtId="1" fontId="210" fillId="0" borderId="0" xfId="0" applyNumberFormat="1" applyFont="1" applyAlignment="1">
      <alignment horizontal="center"/>
    </xf>
    <xf numFmtId="166" fontId="111" fillId="0" borderId="0" xfId="49" applyNumberFormat="1" applyFont="1" applyFill="1" applyAlignment="1">
      <alignment horizontal="center"/>
    </xf>
    <xf numFmtId="17" fontId="123" fillId="0" borderId="70" xfId="49" applyNumberFormat="1" applyFont="1" applyBorder="1" applyAlignment="1">
      <alignment horizontal="right"/>
    </xf>
    <xf numFmtId="0" fontId="212" fillId="0" borderId="0" xfId="49" applyFont="1" applyAlignment="1">
      <alignment horizontal="left"/>
    </xf>
    <xf numFmtId="0" fontId="213" fillId="0" borderId="0" xfId="49" applyFont="1" applyAlignment="1">
      <alignment horizontal="left"/>
    </xf>
    <xf numFmtId="38" fontId="110" fillId="0" borderId="64" xfId="49" applyNumberFormat="1" applyFont="1" applyFill="1" applyBorder="1" applyAlignment="1">
      <alignment horizontal="right"/>
    </xf>
    <xf numFmtId="38" fontId="195" fillId="0" borderId="67" xfId="49" applyNumberFormat="1" applyFont="1" applyFill="1" applyBorder="1" applyAlignment="1">
      <alignment horizontal="right"/>
    </xf>
    <xf numFmtId="38" fontId="210" fillId="0" borderId="27" xfId="49" applyNumberFormat="1" applyFont="1" applyBorder="1" applyAlignment="1">
      <alignment horizontal="center"/>
    </xf>
    <xf numFmtId="38" fontId="197" fillId="0" borderId="42" xfId="49" applyNumberFormat="1" applyFont="1" applyBorder="1" applyAlignment="1">
      <alignment horizontal="center"/>
    </xf>
    <xf numFmtId="0" fontId="158" fillId="0" borderId="0" xfId="49" applyFont="1"/>
    <xf numFmtId="1" fontId="103" fillId="0" borderId="0" xfId="49" applyNumberFormat="1" applyFont="1"/>
    <xf numFmtId="1" fontId="16" fillId="0" borderId="0" xfId="0" applyNumberFormat="1" applyFont="1" applyBorder="1" applyAlignment="1">
      <alignment horizontal="center" vertical="center" wrapText="1"/>
    </xf>
    <xf numFmtId="0" fontId="18" fillId="0" borderId="0" xfId="0" applyFont="1" applyBorder="1" applyAlignment="1">
      <alignment horizontal="center"/>
    </xf>
    <xf numFmtId="0" fontId="18" fillId="0" borderId="14" xfId="0" applyFont="1" applyBorder="1" applyAlignment="1">
      <alignment horizontal="center"/>
    </xf>
    <xf numFmtId="166" fontId="40" fillId="0" borderId="0" xfId="0" applyNumberFormat="1" applyFont="1" applyFill="1" applyBorder="1" applyAlignment="1">
      <alignment horizontal="center" shrinkToFit="1"/>
    </xf>
    <xf numFmtId="15" fontId="44" fillId="24" borderId="0" xfId="0" applyNumberFormat="1" applyFont="1" applyFill="1" applyBorder="1" applyAlignment="1">
      <alignment horizontal="center" shrinkToFit="1"/>
    </xf>
    <xf numFmtId="0" fontId="150" fillId="38" borderId="0" xfId="0" applyFont="1" applyFill="1" applyBorder="1" applyAlignment="1">
      <alignment horizontal="center"/>
    </xf>
    <xf numFmtId="0" fontId="125" fillId="0" borderId="20" xfId="0" applyFont="1" applyBorder="1" applyAlignment="1">
      <alignment horizontal="center"/>
    </xf>
    <xf numFmtId="0" fontId="125" fillId="0" borderId="28" xfId="0" applyFont="1" applyBorder="1" applyAlignment="1">
      <alignment horizontal="center"/>
    </xf>
    <xf numFmtId="0" fontId="125" fillId="0" borderId="41" xfId="0" applyFont="1" applyBorder="1" applyAlignment="1">
      <alignment horizontal="center"/>
    </xf>
    <xf numFmtId="0" fontId="108" fillId="0" borderId="30" xfId="0" applyFont="1" applyBorder="1" applyAlignment="1">
      <alignment horizontal="center"/>
    </xf>
    <xf numFmtId="0" fontId="108" fillId="0" borderId="27" xfId="0" applyFont="1" applyBorder="1" applyAlignment="1">
      <alignment horizontal="center"/>
    </xf>
    <xf numFmtId="0" fontId="108" fillId="0" borderId="42" xfId="0" applyFont="1" applyBorder="1" applyAlignment="1">
      <alignment horizontal="center"/>
    </xf>
    <xf numFmtId="0" fontId="139" fillId="0" borderId="27" xfId="0" applyFont="1" applyBorder="1" applyAlignment="1">
      <alignment horizontal="left" shrinkToFit="1"/>
    </xf>
    <xf numFmtId="0" fontId="119" fillId="0" borderId="0" xfId="0" applyFont="1" applyBorder="1" applyAlignment="1">
      <alignment horizontal="left" shrinkToFit="1"/>
    </xf>
    <xf numFmtId="0" fontId="41" fillId="0" borderId="27" xfId="0" applyFont="1" applyBorder="1" applyAlignment="1">
      <alignment horizontal="left" shrinkToFit="1"/>
    </xf>
    <xf numFmtId="0" fontId="119" fillId="0" borderId="27" xfId="0" applyFont="1" applyBorder="1" applyAlignment="1">
      <alignment horizontal="left" shrinkToFit="1"/>
    </xf>
    <xf numFmtId="0" fontId="156" fillId="0" borderId="0" xfId="0" applyFont="1" applyAlignment="1">
      <alignment horizontal="center" vertical="center"/>
    </xf>
    <xf numFmtId="14" fontId="131" fillId="0" borderId="0" xfId="49" applyNumberFormat="1" applyFont="1"/>
    <xf numFmtId="1" fontId="193" fillId="53" borderId="27" xfId="51" applyNumberFormat="1" applyFont="1" applyFill="1" applyBorder="1" applyAlignment="1">
      <alignment horizontal="center"/>
    </xf>
    <xf numFmtId="1" fontId="193" fillId="53" borderId="0" xfId="51" applyNumberFormat="1" applyFont="1" applyFill="1" applyAlignment="1">
      <alignment horizontal="center"/>
    </xf>
    <xf numFmtId="0" fontId="191" fillId="0" borderId="61" xfId="54" applyFont="1" applyBorder="1" applyAlignment="1">
      <alignment horizontal="center" vertical="center"/>
    </xf>
    <xf numFmtId="0" fontId="191" fillId="0" borderId="62" xfId="54" applyFont="1" applyBorder="1" applyAlignment="1">
      <alignment horizontal="center" vertical="center"/>
    </xf>
    <xf numFmtId="0" fontId="191" fillId="0" borderId="63" xfId="54" applyFont="1" applyBorder="1" applyAlignment="1">
      <alignment horizontal="center" vertical="center"/>
    </xf>
    <xf numFmtId="0" fontId="5" fillId="52" borderId="20" xfId="49" applyFill="1" applyBorder="1" applyAlignment="1">
      <alignment horizontal="center"/>
    </xf>
    <xf numFmtId="0" fontId="5" fillId="52" borderId="28" xfId="49" applyFill="1" applyBorder="1" applyAlignment="1">
      <alignment horizontal="center"/>
    </xf>
    <xf numFmtId="0" fontId="5" fillId="52" borderId="41" xfId="49" applyFill="1" applyBorder="1" applyAlignment="1">
      <alignment horizontal="center"/>
    </xf>
    <xf numFmtId="0" fontId="165" fillId="52" borderId="21" xfId="49" applyFont="1" applyFill="1" applyBorder="1" applyAlignment="1">
      <alignment horizontal="center"/>
    </xf>
    <xf numFmtId="0" fontId="165" fillId="52" borderId="14" xfId="49" applyFont="1" applyFill="1" applyBorder="1" applyAlignment="1">
      <alignment horizontal="center"/>
    </xf>
    <xf numFmtId="0" fontId="165" fillId="52" borderId="24" xfId="49" applyFont="1" applyFill="1" applyBorder="1" applyAlignment="1">
      <alignment horizontal="center"/>
    </xf>
    <xf numFmtId="0" fontId="119" fillId="0" borderId="0" xfId="49" applyFont="1" applyAlignment="1">
      <alignment horizontal="left" shrinkToFit="1"/>
    </xf>
    <xf numFmtId="0" fontId="5" fillId="33" borderId="56" xfId="49" applyFill="1" applyBorder="1" applyAlignment="1">
      <alignment horizontal="center"/>
    </xf>
    <xf numFmtId="0" fontId="190" fillId="0" borderId="0" xfId="54" applyAlignment="1">
      <alignment horizontal="center"/>
    </xf>
    <xf numFmtId="0" fontId="7" fillId="32" borderId="0" xfId="49" applyFont="1" applyFill="1" applyAlignment="1">
      <alignment horizontal="center"/>
    </xf>
    <xf numFmtId="0" fontId="136" fillId="35" borderId="56" xfId="49" applyFont="1" applyFill="1" applyBorder="1" applyAlignment="1">
      <alignment horizontal="center"/>
    </xf>
    <xf numFmtId="0" fontId="105" fillId="37" borderId="0" xfId="49" applyFont="1" applyFill="1" applyAlignment="1">
      <alignment horizontal="center"/>
    </xf>
    <xf numFmtId="0" fontId="105" fillId="36" borderId="0" xfId="49" applyFont="1" applyFill="1" applyAlignment="1">
      <alignment horizontal="center"/>
    </xf>
    <xf numFmtId="2" fontId="106" fillId="0" borderId="0" xfId="49" applyNumberFormat="1" applyFont="1" applyAlignment="1">
      <alignment horizontal="center"/>
    </xf>
    <xf numFmtId="2" fontId="201" fillId="0" borderId="0" xfId="49" applyNumberFormat="1" applyFont="1" applyAlignment="1">
      <alignment horizontal="center"/>
    </xf>
    <xf numFmtId="0" fontId="196" fillId="0" borderId="0" xfId="0" applyFont="1" applyBorder="1" applyAlignment="1">
      <alignment horizontal="center" vertical="center"/>
    </xf>
    <xf numFmtId="0" fontId="105" fillId="0" borderId="0" xfId="0" applyFont="1" applyAlignment="1">
      <alignment horizontal="center"/>
    </xf>
    <xf numFmtId="14" fontId="16" fillId="0" borderId="0" xfId="0" applyNumberFormat="1" applyFont="1" applyBorder="1" applyAlignment="1"/>
    <xf numFmtId="1" fontId="193" fillId="53" borderId="20" xfId="51" applyNumberFormat="1" applyFont="1" applyFill="1" applyBorder="1" applyAlignment="1">
      <alignment horizontal="center"/>
    </xf>
    <xf numFmtId="1" fontId="193" fillId="53" borderId="28" xfId="51" applyNumberFormat="1" applyFont="1" applyFill="1" applyBorder="1" applyAlignment="1">
      <alignment horizontal="center"/>
    </xf>
    <xf numFmtId="1" fontId="193" fillId="53" borderId="41" xfId="51" applyNumberFormat="1" applyFont="1" applyFill="1" applyBorder="1" applyAlignment="1">
      <alignment horizontal="center"/>
    </xf>
    <xf numFmtId="1" fontId="193" fillId="53" borderId="30" xfId="51" applyNumberFormat="1" applyFont="1" applyFill="1" applyBorder="1" applyAlignment="1">
      <alignment horizontal="center"/>
    </xf>
    <xf numFmtId="1" fontId="193" fillId="53" borderId="42" xfId="51" applyNumberFormat="1" applyFont="1" applyFill="1" applyBorder="1" applyAlignment="1">
      <alignment horizontal="center"/>
    </xf>
    <xf numFmtId="0" fontId="183" fillId="0" borderId="20" xfId="0" applyFont="1" applyBorder="1" applyAlignment="1">
      <alignment horizontal="center"/>
    </xf>
    <xf numFmtId="0" fontId="183" fillId="0" borderId="28" xfId="0" applyFont="1" applyBorder="1" applyAlignment="1">
      <alignment horizontal="center"/>
    </xf>
    <xf numFmtId="0" fontId="183" fillId="0" borderId="41" xfId="0" applyFont="1" applyBorder="1" applyAlignment="1">
      <alignment horizontal="center"/>
    </xf>
    <xf numFmtId="14" fontId="131" fillId="0" borderId="0" xfId="0" applyNumberFormat="1" applyFont="1" applyBorder="1" applyAlignment="1"/>
    <xf numFmtId="0" fontId="105" fillId="34" borderId="0" xfId="0" applyFont="1" applyFill="1" applyAlignment="1">
      <alignment horizontal="center"/>
    </xf>
    <xf numFmtId="0" fontId="105" fillId="37" borderId="0" xfId="0" applyFont="1" applyFill="1" applyAlignment="1">
      <alignment horizontal="center"/>
    </xf>
    <xf numFmtId="0" fontId="105" fillId="36" borderId="0" xfId="0" applyFont="1" applyFill="1" applyAlignment="1">
      <alignment horizontal="center"/>
    </xf>
    <xf numFmtId="0" fontId="5" fillId="33" borderId="56" xfId="0" applyFont="1" applyFill="1" applyBorder="1" applyAlignment="1">
      <alignment horizontal="center"/>
    </xf>
    <xf numFmtId="0" fontId="167" fillId="32" borderId="0" xfId="0" applyFont="1" applyFill="1" applyBorder="1" applyAlignment="1">
      <alignment horizontal="center"/>
    </xf>
    <xf numFmtId="0" fontId="134" fillId="0" borderId="0" xfId="0" applyFont="1" applyAlignment="1">
      <alignment horizontal="left" wrapText="1"/>
    </xf>
    <xf numFmtId="0" fontId="135" fillId="0" borderId="0" xfId="0" applyFont="1" applyAlignment="1">
      <alignment horizontal="left" wrapText="1"/>
    </xf>
    <xf numFmtId="0" fontId="134" fillId="0" borderId="0" xfId="0" applyFont="1" applyAlignment="1">
      <alignment horizontal="left" wrapText="1" indent="1"/>
    </xf>
    <xf numFmtId="0" fontId="132" fillId="32" borderId="0" xfId="0" applyFont="1" applyFill="1" applyAlignment="1">
      <alignment horizontal="left"/>
    </xf>
    <xf numFmtId="0" fontId="7" fillId="0" borderId="0" xfId="0" applyFont="1" applyAlignment="1">
      <alignment horizontal="center"/>
    </xf>
    <xf numFmtId="0" fontId="19" fillId="0" borderId="0" xfId="0" applyFont="1" applyBorder="1" applyAlignment="1">
      <alignment horizontal="left"/>
    </xf>
    <xf numFmtId="0" fontId="42" fillId="0" borderId="0" xfId="0" applyFont="1" applyBorder="1" applyAlignment="1">
      <alignment horizontal="center"/>
    </xf>
    <xf numFmtId="0" fontId="34" fillId="0" borderId="14" xfId="0" applyFont="1" applyBorder="1" applyAlignment="1">
      <alignment horizontal="center"/>
    </xf>
    <xf numFmtId="0" fontId="74" fillId="0" borderId="31" xfId="39" applyFont="1" applyBorder="1" applyAlignment="1">
      <alignment horizontal="right"/>
    </xf>
    <xf numFmtId="0" fontId="75" fillId="0" borderId="31" xfId="39" applyFont="1" applyBorder="1" applyAlignment="1">
      <alignment horizontal="right"/>
    </xf>
    <xf numFmtId="1" fontId="75" fillId="0" borderId="31" xfId="39" applyNumberFormat="1" applyFont="1" applyBorder="1" applyAlignment="1">
      <alignment horizontal="right"/>
    </xf>
    <xf numFmtId="0" fontId="75" fillId="0" borderId="14" xfId="39" applyFont="1" applyBorder="1" applyAlignment="1">
      <alignment horizontal="right"/>
    </xf>
    <xf numFmtId="0" fontId="74" fillId="0" borderId="32" xfId="39" applyFont="1" applyBorder="1" applyAlignment="1">
      <alignment horizontal="center"/>
    </xf>
    <xf numFmtId="0" fontId="74" fillId="0" borderId="16" xfId="39" applyFont="1" applyBorder="1" applyAlignment="1">
      <alignment horizontal="center"/>
    </xf>
    <xf numFmtId="0" fontId="74" fillId="0" borderId="35" xfId="39" applyFont="1" applyBorder="1" applyAlignment="1">
      <alignment horizontal="center"/>
    </xf>
    <xf numFmtId="0" fontId="74" fillId="0" borderId="15" xfId="39" applyFont="1" applyBorder="1" applyAlignment="1">
      <alignment horizontal="center"/>
    </xf>
    <xf numFmtId="0" fontId="74" fillId="0" borderId="0" xfId="39" applyFont="1" applyBorder="1" applyAlignment="1">
      <alignment horizontal="center"/>
    </xf>
    <xf numFmtId="0" fontId="74" fillId="0" borderId="10" xfId="39" applyFont="1" applyBorder="1" applyAlignment="1">
      <alignment horizontal="center"/>
    </xf>
    <xf numFmtId="0" fontId="74" fillId="0" borderId="18" xfId="39" applyFont="1" applyBorder="1" applyAlignment="1">
      <alignment horizontal="center"/>
    </xf>
    <xf numFmtId="0" fontId="74" fillId="0" borderId="14" xfId="39" applyFont="1" applyBorder="1" applyAlignment="1">
      <alignment horizontal="center"/>
    </xf>
    <xf numFmtId="0" fontId="74" fillId="0" borderId="11" xfId="39" applyFont="1" applyBorder="1" applyAlignment="1">
      <alignment horizontal="center"/>
    </xf>
    <xf numFmtId="2" fontId="79" fillId="0" borderId="0" xfId="39" applyNumberFormat="1" applyFont="1" applyBorder="1" applyAlignment="1">
      <alignment horizontal="center"/>
    </xf>
    <xf numFmtId="0" fontId="19" fillId="0" borderId="38" xfId="40" applyNumberFormat="1" applyFont="1" applyFill="1" applyBorder="1" applyAlignment="1" applyProtection="1">
      <alignment horizontal="center" vertical="center"/>
    </xf>
    <xf numFmtId="0" fontId="19" fillId="0" borderId="31" xfId="40" applyNumberFormat="1" applyFont="1" applyFill="1" applyBorder="1" applyAlignment="1" applyProtection="1">
      <alignment horizontal="center" vertical="center"/>
    </xf>
    <xf numFmtId="0" fontId="75" fillId="0" borderId="35" xfId="39" applyFont="1" applyBorder="1" applyAlignment="1">
      <alignment horizontal="left" vertical="center"/>
    </xf>
    <xf numFmtId="0" fontId="75" fillId="0" borderId="11" xfId="39" applyFont="1" applyBorder="1" applyAlignment="1">
      <alignment horizontal="left" vertical="center"/>
    </xf>
    <xf numFmtId="0" fontId="74" fillId="0" borderId="32" xfId="39" applyFont="1" applyBorder="1" applyAlignment="1">
      <alignment horizontal="right"/>
    </xf>
    <xf numFmtId="0" fontId="74" fillId="0" borderId="16" xfId="39" applyFont="1" applyBorder="1" applyAlignment="1">
      <alignment horizontal="right"/>
    </xf>
    <xf numFmtId="0" fontId="74" fillId="0" borderId="18" xfId="39" applyFont="1" applyBorder="1" applyAlignment="1">
      <alignment horizontal="right"/>
    </xf>
    <xf numFmtId="0" fontId="74" fillId="0" borderId="14" xfId="39" applyFont="1" applyBorder="1" applyAlignment="1">
      <alignment horizontal="right"/>
    </xf>
    <xf numFmtId="0" fontId="16" fillId="0" borderId="38" xfId="40" applyNumberFormat="1" applyFont="1" applyFill="1" applyBorder="1" applyAlignment="1" applyProtection="1">
      <alignment horizontal="left" vertical="top" wrapText="1"/>
    </xf>
    <xf numFmtId="0" fontId="16" fillId="0" borderId="31" xfId="40" applyNumberFormat="1" applyFont="1" applyFill="1" applyBorder="1" applyAlignment="1" applyProtection="1">
      <alignment horizontal="left" vertical="top" wrapText="1"/>
    </xf>
    <xf numFmtId="0" fontId="19" fillId="0" borderId="38" xfId="40" applyNumberFormat="1" applyFont="1" applyFill="1" applyBorder="1" applyAlignment="1" applyProtection="1">
      <alignment horizontal="left" vertical="top" wrapText="1"/>
    </xf>
    <xf numFmtId="0" fontId="19" fillId="0" borderId="31" xfId="40" applyNumberFormat="1" applyFont="1" applyFill="1" applyBorder="1" applyAlignment="1" applyProtection="1">
      <alignment horizontal="left" vertical="top" wrapText="1"/>
    </xf>
    <xf numFmtId="0" fontId="19" fillId="0" borderId="35" xfId="39" applyFont="1" applyFill="1" applyBorder="1" applyAlignment="1">
      <alignment horizontal="center" vertical="center" textRotation="90"/>
    </xf>
    <xf numFmtId="0" fontId="19" fillId="0" borderId="10" xfId="39" applyFont="1" applyFill="1" applyBorder="1" applyAlignment="1">
      <alignment horizontal="center" vertical="center" textRotation="90"/>
    </xf>
    <xf numFmtId="0" fontId="19" fillId="0" borderId="11" xfId="39" applyFont="1" applyFill="1" applyBorder="1" applyAlignment="1">
      <alignment horizontal="center" vertical="center" textRotation="90"/>
    </xf>
    <xf numFmtId="0" fontId="19" fillId="0" borderId="36" xfId="39" applyFont="1" applyFill="1" applyBorder="1" applyAlignment="1">
      <alignment horizontal="center" vertical="center"/>
    </xf>
    <xf numFmtId="0" fontId="19" fillId="0" borderId="39" xfId="39" applyFont="1" applyFill="1" applyBorder="1" applyAlignment="1">
      <alignment horizontal="center" vertical="center"/>
    </xf>
    <xf numFmtId="0" fontId="19" fillId="0" borderId="40" xfId="39" applyFont="1" applyFill="1" applyBorder="1" applyAlignment="1">
      <alignment horizontal="center" vertical="center"/>
    </xf>
    <xf numFmtId="0" fontId="84" fillId="0" borderId="32" xfId="41" applyNumberFormat="1" applyFont="1" applyFill="1" applyBorder="1" applyAlignment="1" applyProtection="1">
      <alignment horizontal="center" vertical="top"/>
    </xf>
    <xf numFmtId="0" fontId="84" fillId="0" borderId="16" xfId="41" applyNumberFormat="1" applyFont="1" applyFill="1" applyBorder="1" applyAlignment="1" applyProtection="1">
      <alignment horizontal="center" vertical="top"/>
    </xf>
    <xf numFmtId="0" fontId="84" fillId="0" borderId="35" xfId="41" applyNumberFormat="1" applyFont="1" applyFill="1" applyBorder="1" applyAlignment="1" applyProtection="1">
      <alignment horizontal="center" vertical="top"/>
    </xf>
    <xf numFmtId="0" fontId="84" fillId="0" borderId="15" xfId="41" applyNumberFormat="1" applyFont="1" applyFill="1" applyBorder="1" applyAlignment="1" applyProtection="1">
      <alignment horizontal="center" vertical="top"/>
    </xf>
    <xf numFmtId="0" fontId="84" fillId="0" borderId="0" xfId="41" applyNumberFormat="1" applyFont="1" applyFill="1" applyBorder="1" applyAlignment="1" applyProtection="1">
      <alignment horizontal="center" vertical="top"/>
    </xf>
    <xf numFmtId="0" fontId="84" fillId="0" borderId="10" xfId="41" applyNumberFormat="1" applyFont="1" applyFill="1" applyBorder="1" applyAlignment="1" applyProtection="1">
      <alignment horizontal="center" vertical="top"/>
    </xf>
    <xf numFmtId="0" fontId="84" fillId="0" borderId="18" xfId="41" applyNumberFormat="1" applyFont="1" applyFill="1" applyBorder="1" applyAlignment="1" applyProtection="1">
      <alignment horizontal="center" vertical="top"/>
    </xf>
    <xf numFmtId="0" fontId="84" fillId="0" borderId="14" xfId="41" applyNumberFormat="1" applyFont="1" applyFill="1" applyBorder="1" applyAlignment="1" applyProtection="1">
      <alignment horizontal="center" vertical="top"/>
    </xf>
    <xf numFmtId="0" fontId="84" fillId="0" borderId="11"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75" fillId="24" borderId="31" xfId="39" applyFont="1" applyFill="1" applyBorder="1" applyAlignment="1">
      <alignment horizontal="right"/>
    </xf>
    <xf numFmtId="0" fontId="74" fillId="0" borderId="38" xfId="39" applyFont="1" applyBorder="1" applyAlignment="1">
      <alignment horizontal="center"/>
    </xf>
    <xf numFmtId="0" fontId="74" fillId="0" borderId="17" xfId="39" applyFont="1" applyBorder="1" applyAlignment="1">
      <alignment horizontal="center"/>
    </xf>
    <xf numFmtId="0" fontId="74" fillId="0" borderId="31" xfId="39" applyFont="1" applyBorder="1" applyAlignment="1">
      <alignment horizontal="center"/>
    </xf>
    <xf numFmtId="0" fontId="75" fillId="0" borderId="38" xfId="39" applyFont="1" applyBorder="1" applyAlignment="1">
      <alignment horizontal="center"/>
    </xf>
    <xf numFmtId="0" fontId="75" fillId="0" borderId="17" xfId="39" applyFont="1" applyBorder="1" applyAlignment="1">
      <alignment horizontal="center"/>
    </xf>
    <xf numFmtId="0" fontId="75" fillId="0" borderId="31" xfId="39" applyFont="1" applyBorder="1" applyAlignment="1">
      <alignment horizontal="center"/>
    </xf>
    <xf numFmtId="0" fontId="75" fillId="0" borderId="32" xfId="39" applyFont="1" applyBorder="1" applyAlignment="1">
      <alignment horizontal="center"/>
    </xf>
    <xf numFmtId="0" fontId="75" fillId="0" borderId="16" xfId="39" applyFont="1" applyBorder="1" applyAlignment="1">
      <alignment horizontal="center"/>
    </xf>
    <xf numFmtId="0" fontId="75" fillId="0" borderId="35" xfId="39" applyFont="1" applyBorder="1" applyAlignment="1">
      <alignment horizontal="center"/>
    </xf>
    <xf numFmtId="0" fontId="16" fillId="0" borderId="38" xfId="40" applyNumberFormat="1" applyFont="1" applyFill="1" applyBorder="1" applyAlignment="1" applyProtection="1">
      <alignment horizontal="center" vertical="top" wrapText="1"/>
    </xf>
    <xf numFmtId="0" fontId="16" fillId="0" borderId="31" xfId="40" applyNumberFormat="1" applyFont="1" applyFill="1" applyBorder="1" applyAlignment="1" applyProtection="1">
      <alignment horizontal="center" vertical="top" wrapText="1"/>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19" fillId="0" borderId="36"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center" vertical="top"/>
    </xf>
    <xf numFmtId="0" fontId="19" fillId="0" borderId="38" xfId="39" applyFont="1" applyFill="1" applyBorder="1" applyAlignment="1">
      <alignment horizontal="center" vertical="center"/>
    </xf>
    <xf numFmtId="0" fontId="19" fillId="0" borderId="31" xfId="39" applyFont="1" applyFill="1" applyBorder="1" applyAlignment="1">
      <alignment horizontal="center" vertical="center"/>
    </xf>
    <xf numFmtId="0" fontId="16" fillId="0" borderId="17" xfId="40" applyNumberFormat="1" applyFont="1" applyFill="1" applyBorder="1" applyAlignment="1" applyProtection="1">
      <alignment horizontal="left" vertical="top" wrapText="1"/>
    </xf>
    <xf numFmtId="0" fontId="19" fillId="0" borderId="38" xfId="39" applyFont="1" applyFill="1" applyBorder="1" applyAlignment="1">
      <alignment horizontal="left" vertical="center"/>
    </xf>
    <xf numFmtId="0" fontId="19" fillId="0" borderId="31" xfId="39" applyFont="1" applyFill="1" applyBorder="1" applyAlignment="1">
      <alignment horizontal="left" vertical="center"/>
    </xf>
    <xf numFmtId="0" fontId="19" fillId="0" borderId="17" xfId="39" applyFont="1" applyFill="1" applyBorder="1" applyAlignment="1">
      <alignment horizontal="left" vertical="center"/>
    </xf>
    <xf numFmtId="0" fontId="19" fillId="0" borderId="35" xfId="40" applyNumberFormat="1" applyFont="1" applyFill="1" applyBorder="1" applyAlignment="1" applyProtection="1">
      <alignment horizontal="center" vertical="top"/>
    </xf>
    <xf numFmtId="0" fontId="19" fillId="0" borderId="10" xfId="40" applyNumberFormat="1" applyFont="1" applyFill="1" applyBorder="1" applyAlignment="1" applyProtection="1">
      <alignment horizontal="center" vertical="top"/>
    </xf>
    <xf numFmtId="0" fontId="19" fillId="0" borderId="11" xfId="40" applyNumberFormat="1" applyFont="1" applyFill="1" applyBorder="1" applyAlignment="1" applyProtection="1">
      <alignment horizontal="center" vertical="top"/>
    </xf>
    <xf numFmtId="0" fontId="74" fillId="0" borderId="32" xfId="39" applyFont="1" applyBorder="1" applyAlignment="1">
      <alignment horizontal="center" vertical="center"/>
    </xf>
    <xf numFmtId="0" fontId="74" fillId="0" borderId="18" xfId="39" applyFont="1" applyBorder="1" applyAlignment="1">
      <alignment horizontal="center" vertical="center"/>
    </xf>
    <xf numFmtId="0" fontId="75" fillId="0" borderId="16" xfId="39" applyFont="1" applyBorder="1" applyAlignment="1">
      <alignment horizontal="right"/>
    </xf>
    <xf numFmtId="0" fontId="81" fillId="26" borderId="22" xfId="39" applyFont="1" applyFill="1" applyBorder="1" applyAlignment="1">
      <alignment horizontal="left" vertical="center"/>
    </xf>
    <xf numFmtId="0" fontId="81" fillId="26" borderId="0" xfId="39" applyFont="1" applyFill="1" applyBorder="1" applyAlignment="1">
      <alignment horizontal="left" vertical="center"/>
    </xf>
    <xf numFmtId="0" fontId="74" fillId="0" borderId="32" xfId="39" applyFont="1" applyBorder="1" applyAlignment="1">
      <alignment horizontal="left" vertical="center"/>
    </xf>
    <xf numFmtId="0" fontId="74" fillId="0" borderId="16" xfId="39" applyFont="1" applyBorder="1" applyAlignment="1">
      <alignment horizontal="left" vertical="center"/>
    </xf>
    <xf numFmtId="0" fontId="74" fillId="0" borderId="35" xfId="39" applyFont="1" applyBorder="1" applyAlignment="1">
      <alignment horizontal="left" vertical="center"/>
    </xf>
    <xf numFmtId="0" fontId="74" fillId="0" borderId="18" xfId="39" applyFont="1" applyBorder="1" applyAlignment="1">
      <alignment horizontal="left" vertical="center"/>
    </xf>
    <xf numFmtId="0" fontId="74" fillId="0" borderId="14" xfId="39" applyFont="1" applyBorder="1" applyAlignment="1">
      <alignment horizontal="left" vertical="center"/>
    </xf>
    <xf numFmtId="0" fontId="74" fillId="0" borderId="11" xfId="39" applyFont="1" applyBorder="1" applyAlignment="1">
      <alignment horizontal="left" vertical="center"/>
    </xf>
    <xf numFmtId="0" fontId="19" fillId="0" borderId="15"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justify" vertical="top"/>
    </xf>
    <xf numFmtId="0" fontId="74" fillId="0" borderId="36" xfId="39" applyFont="1" applyBorder="1" applyAlignment="1">
      <alignment horizontal="center" vertical="center"/>
    </xf>
    <xf numFmtId="0" fontId="74" fillId="0" borderId="40" xfId="39" applyFont="1" applyBorder="1" applyAlignment="1">
      <alignment horizontal="center" vertical="center"/>
    </xf>
    <xf numFmtId="0" fontId="19" fillId="0" borderId="0" xfId="40" applyNumberFormat="1" applyFont="1" applyFill="1" applyBorder="1" applyAlignment="1" applyProtection="1">
      <alignment horizontal="left" vertical="top"/>
    </xf>
    <xf numFmtId="0" fontId="19" fillId="0" borderId="35" xfId="39" applyFont="1" applyFill="1" applyBorder="1" applyAlignment="1">
      <alignment horizontal="center" vertical="center"/>
    </xf>
    <xf numFmtId="0" fontId="19" fillId="0" borderId="10" xfId="39" applyFont="1" applyFill="1" applyBorder="1" applyAlignment="1">
      <alignment horizontal="center" vertical="center"/>
    </xf>
    <xf numFmtId="0" fontId="19" fillId="0" borderId="11" xfId="39" applyFont="1" applyFill="1" applyBorder="1" applyAlignment="1">
      <alignment horizontal="center" vertical="center"/>
    </xf>
    <xf numFmtId="0" fontId="75" fillId="0" borderId="0" xfId="39" applyFont="1" applyBorder="1" applyAlignment="1">
      <alignment horizontal="right"/>
    </xf>
    <xf numFmtId="0" fontId="19" fillId="0" borderId="32" xfId="40" applyNumberFormat="1" applyFont="1" applyFill="1" applyBorder="1" applyAlignment="1" applyProtection="1">
      <alignment horizontal="center" vertical="top"/>
    </xf>
    <xf numFmtId="0" fontId="19" fillId="0" borderId="16"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0"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5" fillId="0" borderId="39" xfId="40" applyNumberFormat="1" applyFont="1" applyFill="1" applyBorder="1" applyAlignment="1" applyProtection="1">
      <alignment horizontal="center" vertical="center" wrapText="1"/>
    </xf>
    <xf numFmtId="0" fontId="15" fillId="0" borderId="40" xfId="40" applyNumberFormat="1" applyFont="1" applyFill="1" applyBorder="1" applyAlignment="1" applyProtection="1">
      <alignment horizontal="center" vertical="center" wrapText="1"/>
    </xf>
    <xf numFmtId="0" fontId="19" fillId="0" borderId="10" xfId="40" applyNumberFormat="1" applyFont="1" applyFill="1" applyBorder="1" applyAlignment="1" applyProtection="1">
      <alignment horizontal="center" vertical="center" wrapText="1"/>
    </xf>
    <xf numFmtId="0" fontId="19" fillId="0" borderId="11" xfId="40" applyNumberFormat="1" applyFont="1" applyFill="1" applyBorder="1" applyAlignment="1" applyProtection="1">
      <alignment horizontal="center" vertical="center" wrapText="1"/>
    </xf>
    <xf numFmtId="0" fontId="19" fillId="0" borderId="38" xfId="40" applyNumberFormat="1" applyFont="1" applyFill="1" applyBorder="1" applyAlignment="1" applyProtection="1">
      <alignment horizontal="left" vertical="center" wrapText="1"/>
    </xf>
    <xf numFmtId="0" fontId="19" fillId="0" borderId="31" xfId="40" applyNumberFormat="1" applyFont="1" applyFill="1" applyBorder="1" applyAlignment="1" applyProtection="1">
      <alignment horizontal="left" vertical="center" wrapText="1"/>
    </xf>
    <xf numFmtId="0" fontId="75" fillId="25" borderId="31" xfId="39" applyFont="1" applyFill="1" applyBorder="1" applyAlignment="1">
      <alignment horizontal="right"/>
    </xf>
    <xf numFmtId="0" fontId="75" fillId="0" borderId="31" xfId="39" applyFont="1" applyFill="1" applyBorder="1" applyAlignment="1">
      <alignment horizontal="right"/>
    </xf>
    <xf numFmtId="1" fontId="20" fillId="0" borderId="16"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19" fillId="0" borderId="36" xfId="40" applyNumberFormat="1" applyFont="1" applyFill="1" applyBorder="1" applyAlignment="1" applyProtection="1">
      <alignment horizontal="center" vertical="center"/>
    </xf>
    <xf numFmtId="0" fontId="19" fillId="0" borderId="40" xfId="40" applyNumberFormat="1" applyFont="1" applyFill="1" applyBorder="1" applyAlignment="1" applyProtection="1">
      <alignment horizontal="center" vertical="center"/>
    </xf>
    <xf numFmtId="0" fontId="74" fillId="0" borderId="16" xfId="39" applyFont="1" applyBorder="1" applyAlignment="1">
      <alignment horizontal="center" vertical="center"/>
    </xf>
    <xf numFmtId="0" fontId="74" fillId="0" borderId="14" xfId="39" applyFont="1" applyBorder="1" applyAlignment="1">
      <alignment horizontal="center" vertical="center"/>
    </xf>
    <xf numFmtId="0" fontId="75" fillId="0" borderId="35" xfId="39" applyFont="1" applyBorder="1" applyAlignment="1">
      <alignment horizontal="right"/>
    </xf>
    <xf numFmtId="0" fontId="75"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74" fillId="0" borderId="0" xfId="39" applyFont="1" applyBorder="1" applyAlignment="1">
      <alignment horizontal="center" vertical="center" textRotation="90" shrinkToFit="1"/>
    </xf>
    <xf numFmtId="0" fontId="19" fillId="0" borderId="15" xfId="40" applyNumberFormat="1" applyFont="1" applyFill="1" applyBorder="1" applyAlignment="1" applyProtection="1">
      <alignment horizontal="left" vertical="center" wrapText="1"/>
    </xf>
    <xf numFmtId="0" fontId="19" fillId="0" borderId="0" xfId="40" applyNumberFormat="1" applyFont="1" applyFill="1" applyBorder="1" applyAlignment="1" applyProtection="1">
      <alignment horizontal="left" vertical="center" wrapText="1"/>
    </xf>
    <xf numFmtId="0" fontId="21" fillId="0" borderId="10" xfId="39" applyFont="1" applyFill="1" applyBorder="1" applyAlignment="1">
      <alignment horizontal="center" vertical="center" textRotation="90" shrinkToFit="1"/>
    </xf>
    <xf numFmtId="0" fontId="21" fillId="0" borderId="11" xfId="39" applyFont="1" applyFill="1" applyBorder="1" applyAlignment="1">
      <alignment horizontal="center" vertical="center" textRotation="90" shrinkToFit="1"/>
    </xf>
    <xf numFmtId="0" fontId="86" fillId="0" borderId="38" xfId="40" applyNumberFormat="1" applyFont="1" applyFill="1" applyBorder="1" applyAlignment="1" applyProtection="1">
      <alignment horizontal="justify" vertical="top" wrapText="1"/>
    </xf>
    <xf numFmtId="0" fontId="86" fillId="0" borderId="31" xfId="40" applyNumberFormat="1" applyFont="1" applyFill="1" applyBorder="1" applyAlignment="1" applyProtection="1">
      <alignment horizontal="justify" vertical="top" wrapText="1"/>
    </xf>
    <xf numFmtId="2" fontId="79" fillId="0" borderId="16" xfId="39" applyNumberFormat="1" applyFont="1" applyBorder="1" applyAlignment="1">
      <alignment horizontal="center" vertical="center" textRotation="90"/>
    </xf>
    <xf numFmtId="2" fontId="79" fillId="0" borderId="0" xfId="39" applyNumberFormat="1" applyFont="1" applyBorder="1" applyAlignment="1">
      <alignment horizontal="center" vertical="center" textRotation="90"/>
    </xf>
    <xf numFmtId="2" fontId="79" fillId="0" borderId="14" xfId="39" applyNumberFormat="1" applyFont="1" applyBorder="1" applyAlignment="1">
      <alignment horizontal="center" vertical="center" textRotation="90"/>
    </xf>
    <xf numFmtId="0" fontId="74" fillId="0" borderId="35" xfId="39" applyFont="1" applyBorder="1" applyAlignment="1">
      <alignment horizontal="center" vertical="center" textRotation="90"/>
    </xf>
    <xf numFmtId="0" fontId="74" fillId="0" borderId="10" xfId="39" applyFont="1" applyBorder="1" applyAlignment="1">
      <alignment horizontal="center" vertical="center" textRotation="90"/>
    </xf>
    <xf numFmtId="0" fontId="74" fillId="0" borderId="11" xfId="39" applyFont="1" applyBorder="1" applyAlignment="1">
      <alignment horizontal="center" vertical="center" textRotation="90"/>
    </xf>
    <xf numFmtId="0" fontId="75" fillId="24" borderId="16" xfId="39" applyFont="1" applyFill="1" applyBorder="1" applyAlignment="1">
      <alignment horizontal="right"/>
    </xf>
    <xf numFmtId="2" fontId="79" fillId="0" borderId="16" xfId="39" applyNumberFormat="1" applyFont="1" applyBorder="1" applyAlignment="1">
      <alignment horizontal="center"/>
    </xf>
    <xf numFmtId="1" fontId="75" fillId="24" borderId="31" xfId="39" applyNumberFormat="1" applyFont="1" applyFill="1" applyBorder="1" applyAlignment="1">
      <alignment horizontal="right"/>
    </xf>
    <xf numFmtId="0" fontId="74" fillId="0" borderId="31" xfId="39" applyFont="1" applyBorder="1" applyAlignment="1">
      <alignment horizontal="center" vertical="center"/>
    </xf>
    <xf numFmtId="0" fontId="16" fillId="0" borderId="17" xfId="40" applyNumberFormat="1" applyFont="1" applyFill="1" applyBorder="1" applyAlignment="1" applyProtection="1">
      <alignment horizontal="center" vertical="top" wrapText="1"/>
    </xf>
    <xf numFmtId="0" fontId="19" fillId="0" borderId="15" xfId="40" applyNumberFormat="1" applyFont="1" applyFill="1" applyBorder="1" applyAlignment="1" applyProtection="1">
      <alignment horizontal="center" vertical="center" wrapText="1"/>
    </xf>
    <xf numFmtId="0" fontId="19" fillId="0" borderId="18" xfId="40" applyNumberFormat="1" applyFont="1" applyFill="1" applyBorder="1" applyAlignment="1" applyProtection="1">
      <alignment horizontal="center" vertical="center" wrapText="1"/>
    </xf>
    <xf numFmtId="0" fontId="87" fillId="0" borderId="31" xfId="39" applyFont="1" applyBorder="1" applyAlignment="1">
      <alignment horizontal="right"/>
    </xf>
    <xf numFmtId="0" fontId="75" fillId="24" borderId="14" xfId="39" applyFont="1" applyFill="1" applyBorder="1" applyAlignment="1">
      <alignment horizontal="right"/>
    </xf>
    <xf numFmtId="0" fontId="74" fillId="24" borderId="31" xfId="39" applyFont="1" applyFill="1" applyBorder="1" applyAlignment="1">
      <alignment horizontal="right"/>
    </xf>
    <xf numFmtId="0" fontId="79" fillId="0" borderId="35" xfId="39" applyFont="1" applyBorder="1" applyAlignment="1">
      <alignment horizontal="center" vertical="center" textRotation="90"/>
    </xf>
    <xf numFmtId="0" fontId="79" fillId="0" borderId="10" xfId="39" applyFont="1" applyBorder="1" applyAlignment="1">
      <alignment horizontal="center" vertical="center" textRotation="90"/>
    </xf>
    <xf numFmtId="0" fontId="79" fillId="0" borderId="11" xfId="39" applyFont="1" applyBorder="1" applyAlignment="1">
      <alignment horizontal="center" vertical="center" textRotation="90"/>
    </xf>
    <xf numFmtId="0" fontId="78" fillId="0" borderId="35" xfId="39" applyFont="1" applyBorder="1" applyAlignment="1">
      <alignment horizontal="center" vertical="center" textRotation="90"/>
    </xf>
    <xf numFmtId="0" fontId="78" fillId="0" borderId="10" xfId="39" applyFont="1" applyBorder="1" applyAlignment="1">
      <alignment horizontal="center" vertical="center" textRotation="90"/>
    </xf>
    <xf numFmtId="0" fontId="78" fillId="0" borderId="11" xfId="39" applyFont="1" applyBorder="1" applyAlignment="1">
      <alignment horizontal="center" vertical="center" textRotation="90"/>
    </xf>
    <xf numFmtId="0" fontId="76" fillId="0" borderId="35" xfId="39" applyFont="1" applyBorder="1" applyAlignment="1">
      <alignment horizontal="center" vertical="center" textRotation="90" shrinkToFit="1"/>
    </xf>
    <xf numFmtId="0" fontId="76" fillId="0" borderId="10" xfId="39" applyFont="1" applyBorder="1" applyAlignment="1">
      <alignment horizontal="center" vertical="center" textRotation="90" shrinkToFit="1"/>
    </xf>
    <xf numFmtId="0" fontId="76" fillId="0" borderId="11" xfId="39" applyFont="1" applyBorder="1" applyAlignment="1">
      <alignment horizontal="center" vertical="center" textRotation="90" shrinkToFit="1"/>
    </xf>
    <xf numFmtId="0" fontId="19" fillId="0" borderId="38"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vertical="top"/>
    </xf>
    <xf numFmtId="0" fontId="75" fillId="0" borderId="15" xfId="39" applyFont="1" applyBorder="1" applyAlignment="1">
      <alignment horizontal="center"/>
    </xf>
    <xf numFmtId="0" fontId="75" fillId="0" borderId="0" xfId="39" applyFont="1" applyBorder="1" applyAlignment="1">
      <alignment horizontal="center"/>
    </xf>
    <xf numFmtId="0" fontId="75" fillId="0" borderId="10" xfId="39" applyFont="1" applyBorder="1" applyAlignment="1">
      <alignment horizontal="center"/>
    </xf>
    <xf numFmtId="0" fontId="19" fillId="0" borderId="17" xfId="39" applyFont="1" applyFill="1" applyBorder="1" applyAlignment="1">
      <alignment horizontal="center" vertical="center"/>
    </xf>
    <xf numFmtId="0" fontId="19" fillId="0" borderId="17" xfId="40" applyNumberFormat="1" applyFont="1" applyFill="1" applyBorder="1" applyAlignment="1" applyProtection="1">
      <alignment horizontal="center" vertical="top"/>
    </xf>
    <xf numFmtId="0" fontId="19" fillId="0" borderId="38" xfId="41" applyNumberFormat="1" applyFont="1" applyFill="1" applyBorder="1" applyAlignment="1" applyProtection="1">
      <alignment horizontal="center" vertical="top"/>
    </xf>
    <xf numFmtId="0" fontId="19" fillId="0" borderId="31" xfId="41" applyNumberFormat="1" applyFont="1" applyFill="1" applyBorder="1" applyAlignment="1" applyProtection="1">
      <alignment horizontal="center" vertical="top"/>
    </xf>
    <xf numFmtId="0" fontId="19" fillId="0" borderId="17"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justify" vertical="top" wrapText="1"/>
    </xf>
    <xf numFmtId="0" fontId="19" fillId="0" borderId="31" xfId="40" applyNumberFormat="1" applyFont="1" applyFill="1" applyBorder="1" applyAlignment="1" applyProtection="1">
      <alignment horizontal="justify" vertical="top" wrapText="1"/>
    </xf>
    <xf numFmtId="0" fontId="19" fillId="0" borderId="38" xfId="40" applyNumberFormat="1" applyFont="1" applyFill="1" applyBorder="1" applyAlignment="1" applyProtection="1">
      <alignment horizontal="justify" vertical="top"/>
    </xf>
    <xf numFmtId="0" fontId="19" fillId="0" borderId="31" xfId="40" applyNumberFormat="1" applyFont="1" applyFill="1" applyBorder="1" applyAlignment="1" applyProtection="1">
      <alignment horizontal="justify" vertical="top"/>
    </xf>
    <xf numFmtId="1" fontId="75" fillId="24" borderId="0" xfId="39" applyNumberFormat="1" applyFont="1" applyFill="1" applyBorder="1" applyAlignment="1">
      <alignment horizontal="right"/>
    </xf>
    <xf numFmtId="0" fontId="79" fillId="0" borderId="10" xfId="39" applyFont="1" applyBorder="1" applyAlignment="1">
      <alignment horizontal="center" vertical="center" textRotation="90" shrinkToFit="1"/>
    </xf>
    <xf numFmtId="0" fontId="79" fillId="0" borderId="11" xfId="39" applyFont="1" applyBorder="1" applyAlignment="1">
      <alignment horizontal="center" vertical="center" textRotation="90" shrinkToFit="1"/>
    </xf>
    <xf numFmtId="1" fontId="75" fillId="24" borderId="27" xfId="39" applyNumberFormat="1" applyFont="1" applyFill="1" applyBorder="1" applyAlignment="1">
      <alignment horizontal="right"/>
    </xf>
    <xf numFmtId="1" fontId="74" fillId="24" borderId="0" xfId="39" applyNumberFormat="1" applyFont="1" applyFill="1" applyBorder="1" applyAlignment="1">
      <alignment horizontal="right"/>
    </xf>
    <xf numFmtId="1" fontId="75" fillId="24" borderId="28" xfId="39" applyNumberFormat="1" applyFont="1" applyFill="1" applyBorder="1" applyAlignment="1">
      <alignment horizontal="center"/>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3" xr:uid="{00000000-0005-0000-0000-00001C000000}"/>
    <cellStyle name="Euro" xfId="28" xr:uid="{00000000-0005-0000-0000-00001D000000}"/>
    <cellStyle name="Euro 2" xfId="48"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54" xr:uid="{13382548-8DDD-4B03-A938-F6CA1EF8B010}"/>
    <cellStyle name="Hyperlink 3" xfId="56" xr:uid="{0F792948-6A0B-42F9-9BD7-D09E67279492}"/>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2 2" xfId="49" xr:uid="{00000000-0005-0000-0000-00002A000000}"/>
    <cellStyle name="Normal 3" xfId="47" xr:uid="{00000000-0005-0000-0000-00002B000000}"/>
    <cellStyle name="Normal 4" xfId="51" xr:uid="{00000000-0005-0000-0000-00002C000000}"/>
    <cellStyle name="Normal 5" xfId="55" xr:uid="{8369CB66-976B-4AC3-8131-68E390065B22}"/>
    <cellStyle name="Normal 6" xfId="57" xr:uid="{59E33F8F-FF02-4E0B-B353-1FF16D0530AE}"/>
    <cellStyle name="Normal 8" xfId="50" xr:uid="{00000000-0005-0000-0000-00002D000000}"/>
    <cellStyle name="Normal_ITR-1" xfId="39" xr:uid="{00000000-0005-0000-0000-00002E000000}"/>
    <cellStyle name="Normal_ITR4" xfId="40" xr:uid="{00000000-0005-0000-0000-00002F000000}"/>
    <cellStyle name="Normal_tmp96" xfId="41" xr:uid="{00000000-0005-0000-0000-000030000000}"/>
    <cellStyle name="Note" xfId="42" builtinId="10" customBuiltin="1"/>
    <cellStyle name="Output" xfId="43" builtinId="21" customBuiltin="1"/>
    <cellStyle name="Percent" xfId="52"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C08B8"/>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a:extLst>
            <a:ext uri="{FF2B5EF4-FFF2-40B4-BE49-F238E27FC236}">
              <a16:creationId xmlns:a16="http://schemas.microsoft.com/office/drawing/2014/main" id="{00000000-0008-0000-22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6.bin"/><Relationship Id="rId1" Type="http://schemas.openxmlformats.org/officeDocument/2006/relationships/hyperlink" Target="https://www.edfolio.in/courses/e-filing-tax-returns" TargetMode="Externa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dfolio.in/courses/e-filing-tax-returns"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https://www.edfolio.in/courses/e-filing-tax-returns"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https://www.edfolio.in/courses/e-filing-tax-returns"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0"/>
  <sheetViews>
    <sheetView showZeros="0" zoomScale="110" zoomScaleNormal="115" workbookViewId="0">
      <selection activeCell="D2" sqref="D2"/>
    </sheetView>
  </sheetViews>
  <sheetFormatPr defaultColWidth="9.109375" defaultRowHeight="18" customHeight="1" x14ac:dyDescent="0.25"/>
  <cols>
    <col min="1" max="1" width="16.88671875" style="1" customWidth="1"/>
    <col min="2" max="2" width="26.88671875" style="608" customWidth="1"/>
    <col min="3" max="3" width="29.88671875" style="1" customWidth="1"/>
    <col min="4" max="4" width="12.6640625" style="1" customWidth="1"/>
    <col min="5" max="5" width="10.6640625" style="1" customWidth="1"/>
    <col min="6" max="6" width="9.88671875" style="1" customWidth="1"/>
    <col min="7" max="7" width="9.109375" style="1"/>
    <col min="8" max="8" width="13.5546875" style="1" bestFit="1" customWidth="1"/>
    <col min="9" max="9" width="10.33203125" style="1" bestFit="1" customWidth="1"/>
    <col min="10" max="16384" width="9.109375" style="1"/>
  </cols>
  <sheetData>
    <row r="1" spans="1:13" ht="18" customHeight="1" x14ac:dyDescent="0.25">
      <c r="A1" s="601" t="s">
        <v>1003</v>
      </c>
      <c r="B1" s="622" t="s">
        <v>1112</v>
      </c>
      <c r="C1" s="629" t="s">
        <v>1070</v>
      </c>
      <c r="D1" s="600">
        <v>42572</v>
      </c>
      <c r="E1" s="1330">
        <f ca="1">TODAY()</f>
        <v>44617</v>
      </c>
      <c r="F1" s="1330"/>
      <c r="G1" s="570"/>
      <c r="H1" s="570"/>
    </row>
    <row r="2" spans="1:13" ht="18" customHeight="1" x14ac:dyDescent="0.25">
      <c r="A2" s="1" t="s">
        <v>490</v>
      </c>
      <c r="B2" s="623" t="s">
        <v>1114</v>
      </c>
      <c r="C2" s="549"/>
      <c r="D2" s="467">
        <f>IF(E2&lt;20546,"SENIOR",0)</f>
        <v>0</v>
      </c>
      <c r="E2" s="1331">
        <v>31022</v>
      </c>
      <c r="F2" s="1331"/>
      <c r="G2" s="8"/>
      <c r="H2" s="604"/>
      <c r="J2" s="400"/>
      <c r="K2" s="400"/>
      <c r="L2" s="400"/>
      <c r="M2" s="400"/>
    </row>
    <row r="3" spans="1:13" ht="18" customHeight="1" x14ac:dyDescent="0.25">
      <c r="A3" s="601" t="s">
        <v>1004</v>
      </c>
      <c r="B3" s="623" t="s">
        <v>1115</v>
      </c>
      <c r="C3" s="549"/>
      <c r="D3" s="468">
        <f>IF(E2&lt;12875,"VERY SR",0)</f>
        <v>0</v>
      </c>
      <c r="E3" s="605"/>
      <c r="F3" s="466">
        <f ca="1">E1-E2</f>
        <v>13595</v>
      </c>
      <c r="G3" s="570"/>
      <c r="H3" s="570"/>
      <c r="J3" s="400"/>
      <c r="K3" s="400"/>
      <c r="L3" s="400"/>
      <c r="M3" s="400"/>
    </row>
    <row r="4" spans="1:13" ht="18" customHeight="1" x14ac:dyDescent="0.25">
      <c r="A4" s="1" t="s">
        <v>491</v>
      </c>
      <c r="B4" s="623" t="s">
        <v>1116</v>
      </c>
      <c r="C4" s="549"/>
      <c r="D4" s="606" t="s">
        <v>1092</v>
      </c>
      <c r="E4" s="463"/>
      <c r="F4" s="464"/>
      <c r="I4" s="606"/>
      <c r="J4" s="400"/>
      <c r="K4" s="400"/>
      <c r="L4" s="400"/>
      <c r="M4" s="400"/>
    </row>
    <row r="5" spans="1:13" ht="18" customHeight="1" x14ac:dyDescent="0.25">
      <c r="A5" s="601" t="s">
        <v>1005</v>
      </c>
      <c r="B5" s="623" t="s">
        <v>1117</v>
      </c>
      <c r="C5" s="630" t="s">
        <v>1118</v>
      </c>
      <c r="D5" s="606" t="s">
        <v>1073</v>
      </c>
      <c r="E5" s="529"/>
      <c r="F5" s="533"/>
      <c r="G5" s="400"/>
      <c r="H5" s="400"/>
      <c r="J5" s="400"/>
      <c r="K5" s="400"/>
      <c r="L5" s="400"/>
      <c r="M5" s="400"/>
    </row>
    <row r="6" spans="1:13" ht="18" customHeight="1" x14ac:dyDescent="0.25">
      <c r="A6" s="1" t="s">
        <v>492</v>
      </c>
      <c r="B6" s="623" t="s">
        <v>1119</v>
      </c>
      <c r="C6" s="549"/>
      <c r="D6" s="606" t="s">
        <v>1074</v>
      </c>
      <c r="E6" s="529"/>
      <c r="F6" s="533"/>
      <c r="G6" s="607"/>
      <c r="H6" s="400"/>
      <c r="J6" s="400"/>
      <c r="K6" s="400"/>
      <c r="L6" s="400"/>
      <c r="M6" s="400"/>
    </row>
    <row r="7" spans="1:13" ht="18" customHeight="1" x14ac:dyDescent="0.25">
      <c r="A7" s="601" t="s">
        <v>1006</v>
      </c>
      <c r="B7" s="622" t="s">
        <v>1113</v>
      </c>
      <c r="C7" s="549"/>
      <c r="D7" s="606" t="s">
        <v>1077</v>
      </c>
      <c r="E7" s="529"/>
      <c r="F7" s="533"/>
      <c r="G7" s="400"/>
      <c r="H7" s="400"/>
      <c r="J7" s="400"/>
      <c r="K7" s="400"/>
      <c r="L7" s="400"/>
      <c r="M7" s="400"/>
    </row>
    <row r="8" spans="1:13" ht="18" customHeight="1" x14ac:dyDescent="0.25">
      <c r="A8" s="1" t="s">
        <v>493</v>
      </c>
      <c r="B8" s="624" t="s">
        <v>1120</v>
      </c>
      <c r="C8" s="631"/>
      <c r="D8" s="606" t="s">
        <v>1075</v>
      </c>
      <c r="E8" s="529"/>
      <c r="F8" s="533"/>
      <c r="G8" s="400"/>
      <c r="H8" s="400"/>
      <c r="I8" s="8"/>
      <c r="J8" s="8"/>
      <c r="K8" s="8"/>
      <c r="L8" s="8"/>
      <c r="M8" s="8"/>
    </row>
    <row r="9" spans="1:13" ht="18" customHeight="1" x14ac:dyDescent="0.25">
      <c r="A9" s="1" t="s">
        <v>494</v>
      </c>
      <c r="B9" s="623" t="s">
        <v>1121</v>
      </c>
      <c r="C9" s="549"/>
      <c r="D9" s="606" t="s">
        <v>1076</v>
      </c>
      <c r="E9" s="463"/>
      <c r="F9" s="464"/>
    </row>
    <row r="10" spans="1:13" ht="18" customHeight="1" x14ac:dyDescent="0.25">
      <c r="A10" s="601" t="s">
        <v>1007</v>
      </c>
      <c r="B10" s="623" t="s">
        <v>1122</v>
      </c>
      <c r="C10" s="549"/>
      <c r="D10" s="606" t="s">
        <v>1089</v>
      </c>
      <c r="E10" s="14"/>
      <c r="F10" s="46"/>
    </row>
    <row r="11" spans="1:13" ht="18" customHeight="1" x14ac:dyDescent="0.25">
      <c r="A11" s="601" t="s">
        <v>1008</v>
      </c>
      <c r="B11" s="625" t="s">
        <v>1085</v>
      </c>
      <c r="C11" s="549"/>
      <c r="D11" s="400" t="s">
        <v>1018</v>
      </c>
      <c r="E11" s="609" t="s">
        <v>1090</v>
      </c>
      <c r="F11" s="1327" t="s">
        <v>1019</v>
      </c>
      <c r="G11" s="1327" t="s">
        <v>1016</v>
      </c>
      <c r="H11" s="1327" t="s">
        <v>1017</v>
      </c>
    </row>
    <row r="12" spans="1:13" ht="18" customHeight="1" x14ac:dyDescent="0.25">
      <c r="A12" s="601" t="s">
        <v>1009</v>
      </c>
      <c r="B12" s="626" t="s">
        <v>1086</v>
      </c>
      <c r="C12" s="549"/>
      <c r="D12" s="32" t="s">
        <v>1091</v>
      </c>
      <c r="F12" s="1327"/>
      <c r="G12" s="1327"/>
      <c r="H12" s="1327"/>
    </row>
    <row r="13" spans="1:13" ht="15" customHeight="1" x14ac:dyDescent="0.25">
      <c r="A13" s="601" t="s">
        <v>1010</v>
      </c>
      <c r="B13" s="623" t="s">
        <v>1128</v>
      </c>
      <c r="C13" s="632"/>
      <c r="D13" s="1328" t="s">
        <v>1028</v>
      </c>
      <c r="E13" s="1328"/>
      <c r="F13" s="610">
        <v>0</v>
      </c>
      <c r="G13" s="611"/>
      <c r="H13" s="611"/>
    </row>
    <row r="14" spans="1:13" ht="15" customHeight="1" x14ac:dyDescent="0.25">
      <c r="A14" s="601" t="s">
        <v>1011</v>
      </c>
      <c r="B14" s="623" t="s">
        <v>1130</v>
      </c>
      <c r="C14" s="549"/>
      <c r="D14" s="566">
        <v>250000</v>
      </c>
      <c r="E14" s="566">
        <v>300000</v>
      </c>
      <c r="F14" s="612">
        <v>0.1</v>
      </c>
      <c r="G14" s="613"/>
      <c r="H14" s="614"/>
    </row>
    <row r="15" spans="1:13" ht="15" customHeight="1" x14ac:dyDescent="0.25">
      <c r="A15" s="601" t="s">
        <v>1012</v>
      </c>
      <c r="B15" s="623" t="s">
        <v>1129</v>
      </c>
      <c r="C15" s="549"/>
      <c r="D15" s="566">
        <v>300000</v>
      </c>
      <c r="E15" s="566">
        <v>500000</v>
      </c>
      <c r="F15" s="612">
        <v>0.1</v>
      </c>
      <c r="G15" s="612">
        <v>0.1</v>
      </c>
      <c r="H15" s="613"/>
    </row>
    <row r="16" spans="1:13" ht="18" customHeight="1" x14ac:dyDescent="0.25">
      <c r="A16" s="1" t="s">
        <v>495</v>
      </c>
      <c r="B16" s="623" t="s">
        <v>1123</v>
      </c>
      <c r="C16" s="549"/>
      <c r="D16" s="566">
        <v>500000</v>
      </c>
      <c r="E16" s="566">
        <v>1000000</v>
      </c>
      <c r="F16" s="612">
        <v>0.2</v>
      </c>
      <c r="G16" s="612">
        <v>0.2</v>
      </c>
      <c r="H16" s="612">
        <v>0.2</v>
      </c>
      <c r="I16" s="615"/>
    </row>
    <row r="17" spans="1:9" ht="18" customHeight="1" x14ac:dyDescent="0.25">
      <c r="A17" s="633" t="s">
        <v>341</v>
      </c>
      <c r="B17" s="634" t="s">
        <v>1100</v>
      </c>
      <c r="C17" s="469"/>
      <c r="D17" s="1329" t="s">
        <v>1029</v>
      </c>
      <c r="E17" s="1329"/>
      <c r="F17" s="635">
        <v>0.3</v>
      </c>
      <c r="G17" s="635">
        <v>0.3</v>
      </c>
      <c r="H17" s="635">
        <v>0.3</v>
      </c>
    </row>
    <row r="18" spans="1:9" s="617" customFormat="1" ht="18" customHeight="1" x14ac:dyDescent="0.25">
      <c r="A18" s="616" t="s">
        <v>1031</v>
      </c>
      <c r="B18" s="627"/>
      <c r="C18" s="603"/>
      <c r="D18" s="603"/>
      <c r="E18" s="603"/>
      <c r="F18" s="603"/>
      <c r="G18" s="603"/>
      <c r="H18" s="603"/>
      <c r="I18" s="603"/>
    </row>
    <row r="19" spans="1:9" s="617" customFormat="1" ht="18" customHeight="1" x14ac:dyDescent="0.25">
      <c r="A19" s="602" t="s">
        <v>1032</v>
      </c>
      <c r="B19" s="628"/>
      <c r="C19" s="618"/>
      <c r="D19" s="619"/>
    </row>
    <row r="20" spans="1:9" s="617" customFormat="1" ht="18" customHeight="1" x14ac:dyDescent="0.25">
      <c r="A20" s="602" t="s">
        <v>1033</v>
      </c>
    </row>
    <row r="21" spans="1:9" s="617" customFormat="1" ht="18" customHeight="1" x14ac:dyDescent="0.25">
      <c r="B21" s="620"/>
      <c r="C21" s="621"/>
      <c r="D21" s="606"/>
    </row>
    <row r="22" spans="1:9" s="617" customFormat="1" ht="18" customHeight="1" x14ac:dyDescent="0.25">
      <c r="B22" s="620"/>
      <c r="C22" s="621"/>
      <c r="D22" s="606"/>
    </row>
    <row r="23" spans="1:9" s="617" customFormat="1" ht="18" customHeight="1" x14ac:dyDescent="0.25"/>
    <row r="24" spans="1:9" s="617" customFormat="1" ht="18" customHeight="1" x14ac:dyDescent="0.25"/>
    <row r="25" spans="1:9" s="617" customFormat="1" ht="18" customHeight="1" x14ac:dyDescent="0.25"/>
    <row r="26" spans="1:9" s="617" customFormat="1" ht="18" customHeight="1" x14ac:dyDescent="0.25"/>
    <row r="27" spans="1:9" s="617" customFormat="1" ht="18" customHeight="1" x14ac:dyDescent="0.25"/>
    <row r="28" spans="1:9" s="617" customFormat="1" ht="18" customHeight="1" x14ac:dyDescent="0.25"/>
    <row r="29" spans="1:9" s="617" customFormat="1" ht="18" customHeight="1" x14ac:dyDescent="0.25"/>
    <row r="30" spans="1:9" s="617" customFormat="1" ht="18" customHeight="1" x14ac:dyDescent="0.25"/>
    <row r="31" spans="1:9" s="617" customFormat="1" ht="18" customHeight="1" x14ac:dyDescent="0.25"/>
    <row r="32" spans="1:9" s="617" customFormat="1" ht="18" customHeight="1" x14ac:dyDescent="0.25"/>
    <row r="33" s="617" customFormat="1" ht="18" customHeight="1" x14ac:dyDescent="0.25"/>
    <row r="34" s="617" customFormat="1" ht="18" customHeight="1" x14ac:dyDescent="0.25"/>
    <row r="35" s="617" customFormat="1" ht="18" customHeight="1" x14ac:dyDescent="0.25"/>
    <row r="36" s="617" customFormat="1" ht="18" customHeight="1" x14ac:dyDescent="0.25"/>
    <row r="37" s="617" customFormat="1" ht="18" customHeight="1" x14ac:dyDescent="0.25"/>
    <row r="38" s="617" customFormat="1" ht="18" customHeight="1" x14ac:dyDescent="0.25"/>
    <row r="39" s="617" customFormat="1" ht="18" customHeight="1" x14ac:dyDescent="0.25"/>
    <row r="40" s="617" customFormat="1" ht="18" customHeight="1" x14ac:dyDescent="0.25"/>
    <row r="41" s="617" customFormat="1" ht="18" customHeight="1" x14ac:dyDescent="0.25"/>
    <row r="42" s="617" customFormat="1" ht="18" customHeight="1" x14ac:dyDescent="0.25"/>
    <row r="43" s="617" customFormat="1" ht="18" customHeight="1" x14ac:dyDescent="0.25"/>
    <row r="44" s="617" customFormat="1" ht="18" customHeight="1" x14ac:dyDescent="0.25"/>
    <row r="45" s="617" customFormat="1" ht="18" customHeight="1" x14ac:dyDescent="0.25"/>
    <row r="46" s="617" customFormat="1" ht="18" customHeight="1" x14ac:dyDescent="0.25"/>
    <row r="47" s="617" customFormat="1" ht="18" customHeight="1" x14ac:dyDescent="0.25"/>
    <row r="48" s="617" customFormat="1" ht="18" customHeight="1" x14ac:dyDescent="0.25"/>
    <row r="49" s="617" customFormat="1" ht="18" customHeight="1" x14ac:dyDescent="0.25"/>
    <row r="50" s="617" customFormat="1" ht="18" customHeight="1" x14ac:dyDescent="0.25"/>
    <row r="51" s="617" customFormat="1" ht="18" customHeight="1" x14ac:dyDescent="0.25"/>
    <row r="52" s="617" customFormat="1" ht="18" customHeight="1" x14ac:dyDescent="0.25"/>
    <row r="53" s="617" customFormat="1" ht="18" customHeight="1" x14ac:dyDescent="0.25"/>
    <row r="54" s="617" customFormat="1" ht="18" customHeight="1" x14ac:dyDescent="0.25"/>
    <row r="55" s="617" customFormat="1" ht="18" customHeight="1" x14ac:dyDescent="0.25"/>
    <row r="56" s="617" customFormat="1" ht="18" customHeight="1" x14ac:dyDescent="0.25"/>
    <row r="57" s="617" customFormat="1" ht="18" customHeight="1" x14ac:dyDescent="0.25"/>
    <row r="58" s="617" customFormat="1" ht="18" customHeight="1" x14ac:dyDescent="0.25"/>
    <row r="59" s="617" customFormat="1" ht="18" customHeight="1" x14ac:dyDescent="0.25"/>
    <row r="60" s="617" customFormat="1" ht="18" customHeight="1" x14ac:dyDescent="0.25"/>
    <row r="61" s="617" customFormat="1" ht="18" customHeight="1" x14ac:dyDescent="0.25"/>
    <row r="62" s="617" customFormat="1" ht="18" customHeight="1" x14ac:dyDescent="0.25"/>
    <row r="63" s="617" customFormat="1" ht="18" customHeight="1" x14ac:dyDescent="0.25"/>
    <row r="64" s="617" customFormat="1" ht="18" customHeight="1" x14ac:dyDescent="0.25"/>
    <row r="65" s="617" customFormat="1" ht="18" customHeight="1" x14ac:dyDescent="0.25"/>
    <row r="66" s="617" customFormat="1" ht="18" customHeight="1" x14ac:dyDescent="0.25"/>
    <row r="67" s="617" customFormat="1" ht="18" customHeight="1" x14ac:dyDescent="0.25"/>
    <row r="68" s="617" customFormat="1" ht="18" customHeight="1" x14ac:dyDescent="0.25"/>
    <row r="69" s="617" customFormat="1" ht="18" customHeight="1" x14ac:dyDescent="0.25"/>
    <row r="70" s="617" customFormat="1" ht="18" customHeight="1" x14ac:dyDescent="0.25"/>
    <row r="71" s="617" customFormat="1" ht="18" customHeight="1" x14ac:dyDescent="0.25"/>
    <row r="72" s="617" customFormat="1" ht="18" customHeight="1" x14ac:dyDescent="0.25"/>
    <row r="73" s="617" customFormat="1" ht="18" customHeight="1" x14ac:dyDescent="0.25"/>
    <row r="74" s="617" customFormat="1" ht="18" customHeight="1" x14ac:dyDescent="0.25"/>
    <row r="75" s="617" customFormat="1" ht="18" customHeight="1" x14ac:dyDescent="0.25"/>
    <row r="76" s="617" customFormat="1" ht="18" customHeight="1" x14ac:dyDescent="0.25"/>
    <row r="77" s="617" customFormat="1" ht="18" customHeight="1" x14ac:dyDescent="0.25"/>
    <row r="78" s="617" customFormat="1" ht="18" customHeight="1" x14ac:dyDescent="0.25"/>
    <row r="79" s="617" customFormat="1" ht="18" customHeight="1" x14ac:dyDescent="0.25"/>
    <row r="80" s="617" customFormat="1" ht="18" customHeight="1" x14ac:dyDescent="0.25"/>
    <row r="81" s="617" customFormat="1" ht="18" customHeight="1" x14ac:dyDescent="0.25"/>
    <row r="82" s="617" customFormat="1" ht="18" customHeight="1" x14ac:dyDescent="0.25"/>
    <row r="83" s="617" customFormat="1" ht="18" customHeight="1" x14ac:dyDescent="0.25"/>
    <row r="84" s="617" customFormat="1" ht="18" customHeight="1" x14ac:dyDescent="0.25"/>
    <row r="85" s="617" customFormat="1" ht="18" customHeight="1" x14ac:dyDescent="0.25"/>
    <row r="86" s="617" customFormat="1" ht="18" customHeight="1" x14ac:dyDescent="0.25"/>
    <row r="87" s="617" customFormat="1" ht="18" customHeight="1" x14ac:dyDescent="0.25"/>
    <row r="88" s="617" customFormat="1" ht="18" customHeight="1" x14ac:dyDescent="0.25"/>
    <row r="89" s="617" customFormat="1" ht="18" customHeight="1" x14ac:dyDescent="0.25"/>
    <row r="90" s="617" customFormat="1" ht="18" customHeight="1" x14ac:dyDescent="0.25"/>
    <row r="91" s="617" customFormat="1" ht="18" customHeight="1" x14ac:dyDescent="0.25"/>
    <row r="92" s="617" customFormat="1" ht="18" customHeight="1" x14ac:dyDescent="0.25"/>
    <row r="93" s="617" customFormat="1" ht="18" customHeight="1" x14ac:dyDescent="0.25"/>
    <row r="94" s="617" customFormat="1" ht="18" customHeight="1" x14ac:dyDescent="0.25"/>
    <row r="95" s="617" customFormat="1" ht="18" customHeight="1" x14ac:dyDescent="0.25"/>
    <row r="96" s="617" customFormat="1" ht="18" customHeight="1" x14ac:dyDescent="0.25"/>
    <row r="97" s="617" customFormat="1" ht="18" customHeight="1" x14ac:dyDescent="0.25"/>
    <row r="98" s="617" customFormat="1" ht="18" customHeight="1" x14ac:dyDescent="0.25"/>
    <row r="99" s="617" customFormat="1" ht="18" customHeight="1" x14ac:dyDescent="0.25"/>
    <row r="100" s="617" customFormat="1" ht="18" customHeight="1" x14ac:dyDescent="0.25"/>
    <row r="101" s="617" customFormat="1" ht="18" customHeight="1" x14ac:dyDescent="0.25"/>
    <row r="102" s="617" customFormat="1" ht="18" customHeight="1" x14ac:dyDescent="0.25"/>
    <row r="103" s="617" customFormat="1" ht="18" customHeight="1" x14ac:dyDescent="0.25"/>
    <row r="104" s="617" customFormat="1" ht="18" customHeight="1" x14ac:dyDescent="0.25"/>
    <row r="105" s="617" customFormat="1" ht="18" customHeight="1" x14ac:dyDescent="0.25"/>
    <row r="106" s="617" customFormat="1" ht="18" customHeight="1" x14ac:dyDescent="0.25"/>
    <row r="107" s="617" customFormat="1" ht="18" customHeight="1" x14ac:dyDescent="0.25"/>
    <row r="108" s="617" customFormat="1" ht="18" customHeight="1" x14ac:dyDescent="0.25"/>
    <row r="109" s="617" customFormat="1" ht="18" customHeight="1" x14ac:dyDescent="0.25"/>
    <row r="110" s="617" customFormat="1" ht="18" customHeight="1" x14ac:dyDescent="0.25"/>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3" type="noConversion"/>
  <dataValidations xWindow="229" yWindow="308" count="1">
    <dataValidation type="list" showInputMessage="1" showErrorMessage="1" promptTitle="SEX" sqref="B9" xr:uid="{00000000-0002-0000-0000-000000000000}">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8"/>
  <sheetViews>
    <sheetView showZeros="0" topLeftCell="A72"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691">
        <v>3100000</v>
      </c>
      <c r="H4" s="482"/>
      <c r="I4" s="536"/>
      <c r="J4" s="471"/>
    </row>
    <row r="5" spans="1:10" ht="15" customHeight="1" x14ac:dyDescent="0.25">
      <c r="A5" s="420"/>
      <c r="B5" s="421"/>
      <c r="C5" s="422" t="s">
        <v>1183</v>
      </c>
      <c r="D5" s="422"/>
      <c r="E5" s="415"/>
      <c r="F5" s="423"/>
      <c r="G5" s="691">
        <f>12000-9000</f>
        <v>3000</v>
      </c>
      <c r="H5" s="482"/>
      <c r="I5" s="536"/>
      <c r="J5" s="471"/>
    </row>
    <row r="6" spans="1:10" ht="15" customHeight="1" x14ac:dyDescent="0.25">
      <c r="A6" s="420"/>
      <c r="B6" s="421"/>
      <c r="C6" s="408" t="s">
        <v>1172</v>
      </c>
      <c r="D6" s="422"/>
      <c r="E6" s="415"/>
      <c r="F6" s="423"/>
      <c r="G6" s="691">
        <f>80000</f>
        <v>80000</v>
      </c>
      <c r="H6" s="482"/>
      <c r="I6" s="536"/>
      <c r="J6" s="471"/>
    </row>
    <row r="7" spans="1:10" ht="15" customHeight="1" x14ac:dyDescent="0.25">
      <c r="A7" s="420"/>
      <c r="B7" s="421"/>
      <c r="C7" s="408" t="s">
        <v>47</v>
      </c>
      <c r="D7" s="422"/>
      <c r="E7" s="415"/>
      <c r="F7" s="423"/>
      <c r="G7" s="691">
        <v>18000</v>
      </c>
      <c r="H7" s="482"/>
      <c r="I7" s="536"/>
      <c r="J7" s="471"/>
    </row>
    <row r="8" spans="1:10" ht="15" customHeight="1" x14ac:dyDescent="0.25">
      <c r="A8" s="420"/>
      <c r="B8" s="421"/>
      <c r="C8" s="422" t="s">
        <v>1174</v>
      </c>
      <c r="D8" s="422"/>
      <c r="E8" s="415"/>
      <c r="F8" s="423"/>
      <c r="G8" s="411">
        <v>24000</v>
      </c>
      <c r="H8" s="482"/>
      <c r="I8" s="536"/>
      <c r="J8" s="471"/>
    </row>
    <row r="9" spans="1:10" ht="15" customHeight="1" x14ac:dyDescent="0.25">
      <c r="A9" s="420"/>
      <c r="B9" s="421"/>
      <c r="C9" s="422" t="s">
        <v>1174</v>
      </c>
      <c r="D9" s="416" t="s">
        <v>1227</v>
      </c>
      <c r="F9" s="436" t="s">
        <v>1228</v>
      </c>
      <c r="G9" s="637">
        <v>80000</v>
      </c>
      <c r="H9" s="482"/>
      <c r="I9" s="536"/>
      <c r="J9" s="471"/>
    </row>
    <row r="10" spans="1:10" ht="15" customHeight="1" x14ac:dyDescent="0.25">
      <c r="A10" s="420"/>
      <c r="B10" s="415"/>
      <c r="C10" s="422" t="s">
        <v>1175</v>
      </c>
      <c r="D10" s="415"/>
      <c r="E10" s="415"/>
      <c r="F10" s="415"/>
      <c r="G10" s="425">
        <v>20000</v>
      </c>
      <c r="H10" s="482">
        <f>SUM(G4:G10)</f>
        <v>3325000</v>
      </c>
      <c r="I10" s="537">
        <f>IF(H10&lt;&gt;0,0,"NIL")</f>
        <v>0</v>
      </c>
      <c r="J10" s="472"/>
    </row>
    <row r="11" spans="1:10" ht="15" customHeight="1" x14ac:dyDescent="0.25">
      <c r="A11" s="420"/>
      <c r="B11" s="426" t="s">
        <v>995</v>
      </c>
      <c r="C11" s="415"/>
      <c r="D11" s="415"/>
      <c r="E11" s="525" t="s">
        <v>1014</v>
      </c>
      <c r="F11" s="423"/>
      <c r="G11" s="415"/>
      <c r="H11" s="482"/>
      <c r="I11" s="537"/>
      <c r="J11" s="472"/>
    </row>
    <row r="12" spans="1:10" ht="15" customHeight="1" x14ac:dyDescent="0.25">
      <c r="A12" s="420"/>
      <c r="B12" s="426"/>
      <c r="C12" s="583" t="s">
        <v>1127</v>
      </c>
      <c r="D12" s="422"/>
      <c r="E12" s="672" t="s">
        <v>1184</v>
      </c>
      <c r="F12" s="428"/>
      <c r="G12" s="411">
        <v>2000000</v>
      </c>
      <c r="H12" s="482"/>
      <c r="I12" s="537"/>
      <c r="J12" s="472"/>
    </row>
    <row r="13" spans="1:10" ht="15" customHeight="1" x14ac:dyDescent="0.25">
      <c r="A13" s="420"/>
      <c r="B13" s="426"/>
      <c r="C13" s="408" t="s">
        <v>769</v>
      </c>
      <c r="D13" s="415"/>
      <c r="E13" s="408"/>
      <c r="F13" s="415"/>
      <c r="G13" s="479">
        <v>60000</v>
      </c>
      <c r="H13" s="482"/>
      <c r="I13" s="537"/>
      <c r="J13" s="472"/>
    </row>
    <row r="14" spans="1:10" ht="15" customHeight="1" x14ac:dyDescent="0.25">
      <c r="A14" s="420"/>
      <c r="B14" s="426"/>
      <c r="C14" s="408"/>
      <c r="D14" s="415"/>
      <c r="E14" s="408"/>
      <c r="F14" s="415"/>
      <c r="G14" s="423">
        <f>IF((G12-G13)&lt;0,0,(G12-G13))</f>
        <v>1940000</v>
      </c>
      <c r="H14" s="482"/>
      <c r="I14" s="537"/>
      <c r="J14" s="472"/>
    </row>
    <row r="15" spans="1:10" ht="15" customHeight="1" x14ac:dyDescent="0.25">
      <c r="A15" s="420"/>
      <c r="B15" s="426"/>
      <c r="C15" s="590" t="s">
        <v>514</v>
      </c>
      <c r="D15" s="415"/>
      <c r="E15" s="408" t="s">
        <v>1093</v>
      </c>
      <c r="F15" s="415">
        <f>G14*0.3</f>
        <v>582000</v>
      </c>
      <c r="G15" s="423"/>
      <c r="H15" s="482"/>
      <c r="I15" s="537"/>
      <c r="J15" s="472"/>
    </row>
    <row r="16" spans="1:10" ht="15" customHeight="1" x14ac:dyDescent="0.3">
      <c r="A16" s="420"/>
      <c r="B16" s="426"/>
      <c r="D16" s="415"/>
      <c r="E16" s="434" t="s">
        <v>1094</v>
      </c>
      <c r="F16" s="591">
        <v>315000</v>
      </c>
      <c r="G16" s="592">
        <f>F15+F16</f>
        <v>897000</v>
      </c>
      <c r="H16" s="482"/>
      <c r="I16" s="537"/>
      <c r="J16" s="472"/>
    </row>
    <row r="17" spans="1:10" ht="15" customHeight="1" thickBot="1" x14ac:dyDescent="0.35">
      <c r="A17" s="420"/>
      <c r="B17" s="426"/>
      <c r="D17" s="415"/>
      <c r="E17" s="434"/>
      <c r="F17" s="423"/>
      <c r="G17" s="674">
        <f>G14-G16</f>
        <v>1043000</v>
      </c>
      <c r="H17" s="482"/>
      <c r="I17" s="537"/>
      <c r="J17" s="472"/>
    </row>
    <row r="18" spans="1:10" ht="15" customHeight="1" thickTop="1" x14ac:dyDescent="0.25">
      <c r="A18" s="420"/>
      <c r="B18" s="415"/>
      <c r="C18" s="583" t="s">
        <v>1164</v>
      </c>
      <c r="D18" s="422"/>
      <c r="E18" s="663" t="s">
        <v>1185</v>
      </c>
      <c r="F18" s="428"/>
      <c r="G18" s="411"/>
      <c r="H18" s="482"/>
      <c r="I18" s="537"/>
      <c r="J18" s="472"/>
    </row>
    <row r="19" spans="1:10" ht="15" hidden="1" customHeight="1" x14ac:dyDescent="0.25">
      <c r="A19" s="420"/>
      <c r="B19" s="415"/>
      <c r="C19" s="408" t="s">
        <v>769</v>
      </c>
      <c r="D19" s="415"/>
      <c r="E19" s="408"/>
      <c r="F19" s="415"/>
      <c r="G19" s="479"/>
      <c r="H19" s="482"/>
      <c r="I19" s="537"/>
      <c r="J19" s="472"/>
    </row>
    <row r="20" spans="1:10" ht="15" hidden="1" customHeight="1" x14ac:dyDescent="0.25">
      <c r="A20" s="420"/>
      <c r="B20" s="415"/>
      <c r="C20" s="408"/>
      <c r="D20" s="415"/>
      <c r="E20" s="408"/>
      <c r="F20" s="415"/>
      <c r="G20" s="423">
        <f>IF((G18-G19)&lt;0,0,(G18-G19))</f>
        <v>0</v>
      </c>
      <c r="H20" s="482"/>
      <c r="I20" s="537"/>
      <c r="J20" s="472"/>
    </row>
    <row r="21" spans="1:10" ht="15" hidden="1" customHeight="1" x14ac:dyDescent="0.25">
      <c r="A21" s="420"/>
      <c r="B21" s="415"/>
      <c r="C21" s="590" t="s">
        <v>514</v>
      </c>
      <c r="D21" s="415"/>
      <c r="E21" s="408" t="s">
        <v>1093</v>
      </c>
      <c r="F21" s="415">
        <f>G20*0.3</f>
        <v>0</v>
      </c>
      <c r="G21" s="423"/>
      <c r="H21" s="482"/>
      <c r="I21" s="537"/>
      <c r="J21" s="472"/>
    </row>
    <row r="22" spans="1:10" ht="15" customHeight="1" x14ac:dyDescent="0.3">
      <c r="A22" s="420"/>
      <c r="B22" s="415"/>
      <c r="C22" s="590"/>
      <c r="D22" s="415"/>
      <c r="E22" s="434" t="s">
        <v>1094</v>
      </c>
      <c r="F22" s="673">
        <v>282000</v>
      </c>
      <c r="G22" s="592">
        <v>200000</v>
      </c>
      <c r="H22" s="482"/>
      <c r="I22" s="537"/>
      <c r="J22" s="472"/>
    </row>
    <row r="23" spans="1:10" ht="15" customHeight="1" thickBot="1" x14ac:dyDescent="0.3">
      <c r="A23" s="420"/>
      <c r="B23" s="415"/>
      <c r="D23" s="415"/>
      <c r="G23" s="674">
        <f>0-G22</f>
        <v>-200000</v>
      </c>
      <c r="H23" s="482">
        <f>G17+G23</f>
        <v>843000</v>
      </c>
      <c r="I23" s="537">
        <f>IF(H23&lt;&gt;0,0,"NIL")</f>
        <v>0</v>
      </c>
      <c r="J23" s="472"/>
    </row>
    <row r="24" spans="1:10" ht="15" hidden="1" customHeight="1" x14ac:dyDescent="0.25">
      <c r="A24" s="420"/>
      <c r="B24" s="421" t="s">
        <v>996</v>
      </c>
      <c r="C24" s="408"/>
      <c r="D24" s="415"/>
      <c r="E24" s="429"/>
      <c r="F24" s="423"/>
      <c r="G24" s="415"/>
      <c r="H24" s="482"/>
      <c r="I24" s="537"/>
      <c r="J24" s="472"/>
    </row>
    <row r="25" spans="1:10" ht="15" hidden="1" customHeight="1" x14ac:dyDescent="0.25">
      <c r="A25" s="420"/>
      <c r="B25" s="415"/>
      <c r="C25" s="408" t="s">
        <v>991</v>
      </c>
      <c r="D25" s="415"/>
      <c r="E25" s="429"/>
      <c r="F25" s="423"/>
      <c r="G25" s="411"/>
      <c r="H25" s="482"/>
      <c r="I25" s="537"/>
      <c r="J25" s="472"/>
    </row>
    <row r="26" spans="1:10" ht="15" hidden="1" customHeight="1" x14ac:dyDescent="0.25">
      <c r="A26" s="420"/>
      <c r="B26" s="415"/>
      <c r="C26" s="408" t="s">
        <v>992</v>
      </c>
      <c r="D26" s="415"/>
      <c r="E26" s="429"/>
      <c r="F26" s="423"/>
      <c r="G26" s="479"/>
      <c r="H26" s="483">
        <f>G25-G26</f>
        <v>0</v>
      </c>
      <c r="I26" s="537" t="str">
        <f>IF(H26&lt;&gt;0,0,"NIL")</f>
        <v>NIL</v>
      </c>
      <c r="J26" s="472"/>
    </row>
    <row r="27" spans="1:10" ht="15" customHeight="1" thickTop="1" x14ac:dyDescent="0.25">
      <c r="A27" s="420"/>
      <c r="B27" s="421" t="s">
        <v>997</v>
      </c>
      <c r="C27" s="415"/>
      <c r="D27" s="415"/>
      <c r="E27" s="415"/>
      <c r="F27" s="415"/>
      <c r="G27" s="415"/>
      <c r="H27" s="482"/>
      <c r="I27" s="537"/>
      <c r="J27" s="472"/>
    </row>
    <row r="28" spans="1:10" x14ac:dyDescent="0.25">
      <c r="A28" s="420"/>
      <c r="B28" s="415"/>
      <c r="C28" s="408" t="s">
        <v>498</v>
      </c>
      <c r="D28" s="415"/>
      <c r="E28" s="415"/>
      <c r="F28" s="415"/>
      <c r="G28" s="411"/>
      <c r="H28" s="482"/>
      <c r="I28" s="537"/>
      <c r="J28" s="472"/>
    </row>
    <row r="29" spans="1:10" x14ac:dyDescent="0.25">
      <c r="A29" s="420"/>
      <c r="B29" s="415"/>
      <c r="C29" s="408" t="s">
        <v>77</v>
      </c>
      <c r="D29" s="415"/>
      <c r="E29" s="415"/>
      <c r="F29" s="415"/>
      <c r="G29" s="479"/>
      <c r="H29" s="482">
        <f>G28+G29</f>
        <v>0</v>
      </c>
      <c r="I29" s="537" t="str">
        <f>IF(H29&lt;&gt;0,0,"NIL")</f>
        <v>NIL</v>
      </c>
      <c r="J29" s="472"/>
    </row>
    <row r="30" spans="1:10" ht="20.100000000000001" customHeight="1" x14ac:dyDescent="0.25">
      <c r="A30" s="420"/>
      <c r="B30" s="421" t="s">
        <v>998</v>
      </c>
      <c r="C30" s="415"/>
      <c r="D30" s="415"/>
      <c r="E30" s="415"/>
      <c r="F30" s="415"/>
      <c r="G30" s="415"/>
      <c r="H30" s="482"/>
      <c r="I30" s="536"/>
      <c r="J30" s="471"/>
    </row>
    <row r="31" spans="1:10" x14ac:dyDescent="0.25">
      <c r="A31" s="420"/>
      <c r="B31" s="636"/>
      <c r="C31" s="431" t="s">
        <v>1186</v>
      </c>
      <c r="D31" s="431"/>
      <c r="E31" s="431" t="s">
        <v>1193</v>
      </c>
      <c r="F31" s="415"/>
      <c r="G31" s="691">
        <v>15700</v>
      </c>
      <c r="H31" s="482"/>
      <c r="I31" s="536"/>
      <c r="J31" s="471"/>
    </row>
    <row r="32" spans="1:10" x14ac:dyDescent="0.25">
      <c r="A32" s="420"/>
      <c r="B32" s="636"/>
      <c r="C32" s="431" t="s">
        <v>1189</v>
      </c>
      <c r="D32" s="431"/>
      <c r="E32" s="431"/>
      <c r="F32" s="415"/>
      <c r="G32" s="411">
        <v>2000</v>
      </c>
      <c r="H32" s="482"/>
      <c r="I32" s="536"/>
      <c r="J32" s="471"/>
    </row>
    <row r="33" spans="1:10" x14ac:dyDescent="0.25">
      <c r="A33" s="420"/>
      <c r="B33" s="636"/>
      <c r="C33" s="431" t="s">
        <v>1188</v>
      </c>
      <c r="D33" s="431"/>
      <c r="E33" s="431"/>
      <c r="F33" s="408"/>
      <c r="G33" s="411">
        <v>60000</v>
      </c>
      <c r="H33" s="482"/>
      <c r="I33" s="536"/>
      <c r="J33" s="471"/>
    </row>
    <row r="34" spans="1:10" x14ac:dyDescent="0.25">
      <c r="A34" s="420"/>
      <c r="B34" s="636"/>
      <c r="C34" s="431" t="s">
        <v>1187</v>
      </c>
      <c r="D34" s="431"/>
      <c r="E34" s="431"/>
      <c r="F34" s="408"/>
      <c r="G34" s="411"/>
      <c r="H34" s="482"/>
      <c r="I34" s="536"/>
      <c r="J34" s="471"/>
    </row>
    <row r="35" spans="1:10" x14ac:dyDescent="0.25">
      <c r="A35" s="420"/>
      <c r="B35" s="589"/>
      <c r="C35" s="431" t="s">
        <v>1190</v>
      </c>
      <c r="D35" s="431"/>
      <c r="E35" s="431"/>
      <c r="F35" s="431"/>
      <c r="G35" s="462">
        <v>1736</v>
      </c>
      <c r="H35" s="482"/>
      <c r="I35" s="536"/>
      <c r="J35" s="471"/>
    </row>
    <row r="36" spans="1:10" ht="15" customHeight="1" x14ac:dyDescent="0.3">
      <c r="A36" s="420"/>
      <c r="B36" s="589"/>
      <c r="C36" s="431"/>
      <c r="D36" s="434"/>
      <c r="E36" s="433"/>
      <c r="F36" s="433"/>
      <c r="G36" s="480">
        <f>SUM(G31:G35)</f>
        <v>79436</v>
      </c>
      <c r="H36" s="482"/>
      <c r="I36" s="536"/>
      <c r="J36" s="471"/>
    </row>
    <row r="37" spans="1:10" ht="15" hidden="1" customHeight="1" x14ac:dyDescent="0.25">
      <c r="A37" s="420"/>
      <c r="B37" s="589"/>
      <c r="C37" s="435" t="s">
        <v>512</v>
      </c>
      <c r="D37" s="436"/>
      <c r="E37" s="436"/>
      <c r="F37" s="436"/>
      <c r="G37" s="437"/>
      <c r="H37" s="482"/>
      <c r="I37" s="536"/>
      <c r="J37" s="471"/>
    </row>
    <row r="38" spans="1:10" ht="15" hidden="1" customHeight="1" x14ac:dyDescent="0.25">
      <c r="A38" s="420"/>
      <c r="B38" s="589"/>
      <c r="G38" s="410"/>
      <c r="H38" s="482"/>
      <c r="I38" s="536"/>
      <c r="J38" s="471"/>
    </row>
    <row r="39" spans="1:10" ht="15" hidden="1" customHeight="1" x14ac:dyDescent="0.25">
      <c r="A39" s="420"/>
      <c r="B39" s="589"/>
      <c r="G39" s="410"/>
      <c r="H39" s="482"/>
      <c r="I39" s="536"/>
      <c r="J39" s="471"/>
    </row>
    <row r="40" spans="1:10" ht="15" hidden="1" customHeight="1" x14ac:dyDescent="0.25">
      <c r="A40" s="420"/>
      <c r="B40" s="589"/>
      <c r="C40" s="436" t="s">
        <v>846</v>
      </c>
      <c r="D40" s="436"/>
      <c r="E40" s="415"/>
      <c r="F40" s="438"/>
      <c r="G40" s="437"/>
      <c r="H40" s="482"/>
      <c r="I40" s="536"/>
      <c r="J40" s="471"/>
    </row>
    <row r="41" spans="1:10" ht="15" hidden="1" customHeight="1" x14ac:dyDescent="0.25">
      <c r="A41" s="420"/>
      <c r="B41" s="589"/>
      <c r="C41" s="432" t="s">
        <v>847</v>
      </c>
      <c r="D41" s="415"/>
      <c r="E41" s="415"/>
      <c r="F41" s="461">
        <f>ROUND(IF(F40/3&gt;15000,15000,F40/3),0)</f>
        <v>0</v>
      </c>
      <c r="G41" s="447">
        <f>F40-F41</f>
        <v>0</v>
      </c>
      <c r="H41" s="482"/>
      <c r="I41" s="536"/>
      <c r="J41" s="471"/>
    </row>
    <row r="42" spans="1:10" ht="15" hidden="1" customHeight="1" x14ac:dyDescent="0.25">
      <c r="A42" s="420"/>
      <c r="B42" s="589"/>
      <c r="C42" s="415"/>
      <c r="D42" s="415"/>
      <c r="E42" s="415"/>
      <c r="F42" s="415"/>
      <c r="G42" s="480">
        <f>SUM(G38:G41)</f>
        <v>0</v>
      </c>
      <c r="H42" s="484"/>
      <c r="J42" s="472"/>
    </row>
    <row r="43" spans="1:10" ht="15" customHeight="1" x14ac:dyDescent="0.25">
      <c r="A43" s="420"/>
      <c r="B43" s="589"/>
      <c r="C43" s="415"/>
      <c r="D43" s="415"/>
      <c r="E43" s="415"/>
      <c r="F43" s="415"/>
      <c r="G43" s="437"/>
      <c r="H43" s="482">
        <f>+G36</f>
        <v>79436</v>
      </c>
      <c r="I43" s="537">
        <f>IF(H43&lt;&gt;0,0,"NIL")</f>
        <v>0</v>
      </c>
      <c r="J43" s="472"/>
    </row>
    <row r="44" spans="1:10" ht="15" hidden="1" customHeight="1" x14ac:dyDescent="0.3">
      <c r="A44" s="420"/>
      <c r="B44" s="589"/>
      <c r="C44" s="439" t="s">
        <v>564</v>
      </c>
      <c r="D44" s="436"/>
      <c r="E44" s="436"/>
      <c r="F44" s="440"/>
      <c r="G44" s="437"/>
      <c r="H44" s="484"/>
      <c r="J44" s="472"/>
    </row>
    <row r="45" spans="1:10" ht="12.75" hidden="1" customHeight="1" x14ac:dyDescent="0.25">
      <c r="A45" s="420"/>
      <c r="B45" s="421"/>
      <c r="C45" s="409" t="s">
        <v>851</v>
      </c>
      <c r="D45" s="436"/>
      <c r="E45" s="441"/>
      <c r="F45" s="442"/>
      <c r="G45" s="430"/>
      <c r="H45" s="482"/>
      <c r="I45" s="536"/>
      <c r="J45" s="471"/>
    </row>
    <row r="46" spans="1:10" ht="12.75" hidden="1" customHeight="1" x14ac:dyDescent="0.25">
      <c r="A46" s="420"/>
      <c r="B46" s="421"/>
      <c r="C46" s="409" t="s">
        <v>981</v>
      </c>
      <c r="D46" s="436"/>
      <c r="E46" s="441"/>
      <c r="F46" s="442"/>
      <c r="G46" s="430"/>
      <c r="H46" s="482"/>
      <c r="I46" s="536"/>
      <c r="J46" s="471"/>
    </row>
    <row r="47" spans="1:10" ht="12.75" hidden="1" customHeight="1" x14ac:dyDescent="0.25">
      <c r="A47" s="420"/>
      <c r="B47" s="421"/>
      <c r="C47" s="409" t="s">
        <v>982</v>
      </c>
      <c r="D47" s="436"/>
      <c r="E47" s="441"/>
      <c r="F47" s="442"/>
      <c r="G47" s="430"/>
      <c r="H47" s="482"/>
      <c r="I47" s="536"/>
      <c r="J47" s="471"/>
    </row>
    <row r="48" spans="1:10" ht="12.75" hidden="1" customHeight="1" x14ac:dyDescent="0.25">
      <c r="A48" s="420"/>
      <c r="B48" s="421"/>
      <c r="C48" s="409" t="s">
        <v>983</v>
      </c>
      <c r="D48" s="436"/>
      <c r="E48" s="415"/>
      <c r="F48" s="442"/>
      <c r="G48" s="430"/>
      <c r="H48" s="482"/>
      <c r="I48" s="536"/>
      <c r="J48" s="471"/>
    </row>
    <row r="49" spans="1:12" ht="12.75" hidden="1" customHeight="1" thickBot="1" x14ac:dyDescent="0.3">
      <c r="A49" s="420"/>
      <c r="B49" s="428"/>
      <c r="C49" s="435"/>
      <c r="D49" s="436"/>
      <c r="E49" s="415"/>
      <c r="F49" s="443">
        <f>SUM(F45:F48)</f>
        <v>0</v>
      </c>
      <c r="G49" s="437"/>
      <c r="H49" s="484"/>
      <c r="J49" s="471"/>
    </row>
    <row r="50" spans="1:12" ht="12.75" customHeight="1" x14ac:dyDescent="0.25">
      <c r="A50" s="420"/>
      <c r="B50" s="428"/>
      <c r="C50" s="435"/>
      <c r="D50" s="436"/>
      <c r="E50" s="415"/>
      <c r="F50" s="444"/>
      <c r="G50" s="437"/>
      <c r="H50" s="484"/>
      <c r="I50" s="538"/>
      <c r="J50" s="534"/>
    </row>
    <row r="51" spans="1:12" ht="15" customHeight="1" x14ac:dyDescent="0.25">
      <c r="A51" s="420"/>
      <c r="B51" s="421" t="s">
        <v>501</v>
      </c>
      <c r="C51" s="415"/>
      <c r="D51" s="415"/>
      <c r="E51" s="428"/>
      <c r="F51" s="428"/>
      <c r="G51" s="424"/>
      <c r="H51" s="485">
        <f>SUM(H10:H49)</f>
        <v>4247436</v>
      </c>
      <c r="I51" s="537">
        <f>IF(H51&lt;&gt;0,0,"NIL")</f>
        <v>0</v>
      </c>
      <c r="J51" s="472"/>
    </row>
    <row r="52" spans="1:12" ht="15" customHeight="1" x14ac:dyDescent="0.25">
      <c r="A52" s="420"/>
      <c r="B52" s="445" t="s">
        <v>999</v>
      </c>
      <c r="C52" s="415"/>
      <c r="D52" s="415"/>
      <c r="E52" s="415"/>
      <c r="F52" s="415"/>
      <c r="G52" s="415"/>
      <c r="H52" s="482"/>
      <c r="I52" s="536"/>
      <c r="J52" s="471"/>
    </row>
    <row r="53" spans="1:12" ht="12.75" customHeight="1" x14ac:dyDescent="0.25">
      <c r="A53" s="420"/>
      <c r="B53" s="446"/>
      <c r="C53" s="435" t="s">
        <v>1080</v>
      </c>
      <c r="D53" s="415"/>
      <c r="E53" s="415"/>
      <c r="F53" s="415"/>
      <c r="G53" s="423"/>
      <c r="H53" s="482"/>
      <c r="I53" s="536"/>
      <c r="J53" s="471"/>
    </row>
    <row r="54" spans="1:12" ht="12.75" hidden="1" customHeight="1" x14ac:dyDescent="0.25">
      <c r="A54" s="420"/>
      <c r="B54" s="446"/>
      <c r="C54" s="431" t="s">
        <v>510</v>
      </c>
      <c r="D54" s="415"/>
      <c r="E54" s="415"/>
      <c r="F54" s="411"/>
      <c r="G54" s="423"/>
      <c r="H54" s="482"/>
      <c r="I54" s="536"/>
      <c r="J54" s="471"/>
    </row>
    <row r="55" spans="1:12" ht="12.75" hidden="1" customHeight="1" x14ac:dyDescent="0.25">
      <c r="A55" s="420"/>
      <c r="B55" s="446"/>
      <c r="C55" s="431" t="s">
        <v>1081</v>
      </c>
      <c r="D55" s="415"/>
      <c r="E55" s="415"/>
      <c r="F55" s="411"/>
      <c r="G55" s="423"/>
      <c r="H55" s="482"/>
      <c r="I55" s="536"/>
      <c r="J55" s="471"/>
    </row>
    <row r="56" spans="1:12" ht="12.75" hidden="1" customHeight="1" x14ac:dyDescent="0.25">
      <c r="A56" s="420"/>
      <c r="B56" s="446"/>
      <c r="C56" s="431" t="s">
        <v>985</v>
      </c>
      <c r="D56" s="415"/>
      <c r="E56" s="415"/>
      <c r="F56" s="411"/>
      <c r="G56" s="423"/>
      <c r="H56" s="482"/>
      <c r="I56" s="536"/>
      <c r="J56" s="471"/>
    </row>
    <row r="57" spans="1:12" ht="12.75" hidden="1" customHeight="1" x14ac:dyDescent="0.25">
      <c r="A57" s="420"/>
      <c r="B57" s="446"/>
      <c r="C57" s="431" t="s">
        <v>984</v>
      </c>
      <c r="D57" s="415"/>
      <c r="E57" s="415"/>
      <c r="F57" s="411"/>
      <c r="G57" s="423"/>
      <c r="H57" s="482"/>
      <c r="I57" s="536"/>
      <c r="J57" s="471"/>
    </row>
    <row r="58" spans="1:12" ht="12.75" customHeight="1" x14ac:dyDescent="0.25">
      <c r="A58" s="420"/>
      <c r="B58" s="446"/>
      <c r="C58" s="431" t="s">
        <v>1177</v>
      </c>
      <c r="D58" s="415"/>
      <c r="E58" s="415"/>
      <c r="F58" s="411">
        <v>60000</v>
      </c>
      <c r="G58" s="423"/>
      <c r="H58" s="482"/>
      <c r="I58" s="536"/>
      <c r="J58" s="471"/>
    </row>
    <row r="59" spans="1:12" ht="12.75" customHeight="1" x14ac:dyDescent="0.25">
      <c r="A59" s="420"/>
      <c r="B59" s="446"/>
      <c r="C59" s="431" t="s">
        <v>1149</v>
      </c>
      <c r="D59" s="415"/>
      <c r="E59" s="415"/>
      <c r="F59" s="411">
        <v>10000</v>
      </c>
      <c r="G59" s="423"/>
      <c r="H59" s="482"/>
      <c r="I59" s="536"/>
      <c r="J59" s="471"/>
      <c r="L59" s="416">
        <f>10000-7736</f>
        <v>2264</v>
      </c>
    </row>
    <row r="60" spans="1:12" ht="12.75" customHeight="1" x14ac:dyDescent="0.25">
      <c r="A60" s="420"/>
      <c r="B60" s="446"/>
      <c r="C60" s="431" t="s">
        <v>1190</v>
      </c>
      <c r="D60" s="415"/>
      <c r="E60" s="415"/>
      <c r="F60" s="411">
        <v>1736</v>
      </c>
      <c r="G60" s="423"/>
      <c r="H60" s="482"/>
      <c r="I60" s="536"/>
      <c r="J60" s="471"/>
      <c r="L60" s="416">
        <f>F58+F60+F61+F66</f>
        <v>147736</v>
      </c>
    </row>
    <row r="61" spans="1:12" ht="12.75" customHeight="1" x14ac:dyDescent="0.25">
      <c r="A61" s="420"/>
      <c r="B61" s="446"/>
      <c r="C61" s="431" t="s">
        <v>509</v>
      </c>
      <c r="D61" s="415"/>
      <c r="E61" s="415"/>
      <c r="F61" s="411">
        <v>36000</v>
      </c>
      <c r="G61" s="423"/>
      <c r="H61" s="482"/>
      <c r="I61" s="536"/>
      <c r="J61" s="471"/>
    </row>
    <row r="62" spans="1:12" ht="12.75" hidden="1" customHeight="1" x14ac:dyDescent="0.25">
      <c r="A62" s="420"/>
      <c r="B62" s="446"/>
      <c r="C62" s="431" t="s">
        <v>986</v>
      </c>
      <c r="D62" s="415"/>
      <c r="E62" s="415"/>
      <c r="F62" s="411"/>
      <c r="G62" s="423"/>
      <c r="H62" s="482"/>
      <c r="I62" s="536"/>
      <c r="J62" s="471"/>
    </row>
    <row r="63" spans="1:12" ht="12.75" hidden="1" customHeight="1" x14ac:dyDescent="0.25">
      <c r="A63" s="420"/>
      <c r="B63" s="446"/>
      <c r="C63" s="431" t="s">
        <v>987</v>
      </c>
      <c r="D63" s="415"/>
      <c r="E63" s="415"/>
      <c r="F63" s="411"/>
      <c r="G63" s="423"/>
      <c r="H63" s="482"/>
      <c r="I63" s="536"/>
      <c r="J63" s="471"/>
    </row>
    <row r="64" spans="1:12" ht="12.75" hidden="1" customHeight="1" x14ac:dyDescent="0.25">
      <c r="A64" s="420"/>
      <c r="B64" s="446"/>
      <c r="C64" s="431" t="s">
        <v>988</v>
      </c>
      <c r="D64" s="415"/>
      <c r="E64" s="415"/>
      <c r="F64" s="411"/>
      <c r="G64" s="423"/>
      <c r="H64" s="482"/>
      <c r="I64" s="536"/>
      <c r="J64" s="471"/>
    </row>
    <row r="65" spans="1:12" ht="12.75" hidden="1" customHeight="1" x14ac:dyDescent="0.25">
      <c r="A65" s="420"/>
      <c r="B65" s="446"/>
      <c r="C65" s="431" t="s">
        <v>989</v>
      </c>
      <c r="D65" s="415"/>
      <c r="E65" s="415"/>
      <c r="F65" s="411"/>
      <c r="G65" s="423"/>
      <c r="H65" s="482"/>
      <c r="I65" s="536"/>
      <c r="J65" s="471"/>
    </row>
    <row r="66" spans="1:12" ht="12.75" customHeight="1" x14ac:dyDescent="0.25">
      <c r="A66" s="420"/>
      <c r="B66" s="446"/>
      <c r="C66" s="431" t="s">
        <v>986</v>
      </c>
      <c r="D66" s="415"/>
      <c r="E66" s="415"/>
      <c r="F66" s="411">
        <v>50000</v>
      </c>
      <c r="G66" s="423"/>
      <c r="H66" s="482"/>
      <c r="I66" s="536"/>
      <c r="J66" s="471"/>
    </row>
    <row r="67" spans="1:12" ht="15" customHeight="1" x14ac:dyDescent="0.25">
      <c r="A67" s="420"/>
      <c r="B67" s="446"/>
      <c r="C67" s="431"/>
      <c r="D67" s="415"/>
      <c r="E67" s="415"/>
      <c r="F67" s="448">
        <f>SUM(F58:F66)</f>
        <v>157736</v>
      </c>
      <c r="G67" s="415">
        <f>IF(F67&gt;150000,150000,F67)</f>
        <v>150000</v>
      </c>
      <c r="H67" s="482"/>
      <c r="I67" s="536"/>
      <c r="J67" s="471"/>
    </row>
    <row r="68" spans="1:12" ht="15" customHeight="1" x14ac:dyDescent="0.25">
      <c r="A68" s="420"/>
      <c r="B68" s="446"/>
      <c r="C68" s="449" t="s">
        <v>1079</v>
      </c>
      <c r="D68" s="415"/>
      <c r="E68" s="415"/>
      <c r="F68" s="450"/>
      <c r="G68" s="411">
        <v>50000</v>
      </c>
      <c r="H68" s="482"/>
      <c r="I68" s="536"/>
      <c r="J68" s="471"/>
    </row>
    <row r="69" spans="1:12" ht="15" hidden="1" customHeight="1" x14ac:dyDescent="0.25">
      <c r="A69" s="420"/>
      <c r="B69" s="446"/>
      <c r="C69" s="449" t="s">
        <v>1078</v>
      </c>
      <c r="D69" s="415"/>
      <c r="E69" s="415"/>
      <c r="F69" s="450"/>
      <c r="G69" s="411"/>
      <c r="H69" s="482"/>
      <c r="I69" s="536"/>
      <c r="J69" s="471"/>
    </row>
    <row r="70" spans="1:12" ht="15" hidden="1" customHeight="1" x14ac:dyDescent="0.25">
      <c r="A70" s="420"/>
      <c r="B70" s="446"/>
      <c r="C70" s="449" t="s">
        <v>852</v>
      </c>
      <c r="D70" s="415"/>
      <c r="E70" s="415"/>
      <c r="F70" s="450"/>
      <c r="G70" s="411"/>
      <c r="H70" s="482"/>
      <c r="I70" s="536"/>
      <c r="J70" s="471"/>
    </row>
    <row r="71" spans="1:12" ht="15" hidden="1" customHeight="1" x14ac:dyDescent="0.25">
      <c r="A71" s="420"/>
      <c r="B71" s="446"/>
      <c r="C71" s="449" t="s">
        <v>611</v>
      </c>
      <c r="D71" s="415"/>
      <c r="E71" s="415"/>
      <c r="F71" s="415"/>
      <c r="G71" s="411"/>
      <c r="H71" s="482"/>
      <c r="I71" s="536"/>
      <c r="J71" s="471"/>
    </row>
    <row r="72" spans="1:12" ht="15" customHeight="1" x14ac:dyDescent="0.25">
      <c r="A72" s="420"/>
      <c r="B72" s="415"/>
      <c r="C72" s="692" t="s">
        <v>979</v>
      </c>
      <c r="D72" s="415"/>
      <c r="E72" s="428"/>
      <c r="F72" s="428"/>
      <c r="G72" s="447">
        <f>IF(G31&gt;10000, 10000, G31)</f>
        <v>10000</v>
      </c>
      <c r="H72" s="482"/>
      <c r="I72" s="536"/>
      <c r="J72" s="471"/>
      <c r="L72" s="675"/>
    </row>
    <row r="73" spans="1:12" x14ac:dyDescent="0.25">
      <c r="A73" s="420"/>
      <c r="B73" s="415"/>
      <c r="C73" s="543" t="s">
        <v>853</v>
      </c>
      <c r="D73" s="415"/>
      <c r="E73" s="428"/>
      <c r="F73" s="428"/>
      <c r="G73" s="411"/>
      <c r="H73" s="482">
        <f>SUM(G67:G73)</f>
        <v>210000</v>
      </c>
      <c r="I73" s="537">
        <f>IF(H73&lt;&gt;0,0,"NIL")</f>
        <v>0</v>
      </c>
      <c r="J73" s="472"/>
    </row>
    <row r="74" spans="1:12" ht="15.75" customHeight="1" thickBot="1" x14ac:dyDescent="0.3">
      <c r="A74" s="420"/>
      <c r="B74" s="451" t="s">
        <v>777</v>
      </c>
      <c r="C74" s="415"/>
      <c r="D74" s="415"/>
      <c r="E74" s="452">
        <f>IF((H51-H73)&lt;0,0,(H51-H73))</f>
        <v>4037436</v>
      </c>
      <c r="F74" s="453" t="s">
        <v>779</v>
      </c>
      <c r="G74" s="440"/>
      <c r="H74" s="486">
        <f>ROUND((E74/10),0)*10</f>
        <v>4037440</v>
      </c>
      <c r="I74" s="539">
        <f>IF(H74&lt;&gt;0,0,"NIL")</f>
        <v>0</v>
      </c>
      <c r="J74" s="475"/>
    </row>
    <row r="75" spans="1:12" ht="15" customHeight="1" thickTop="1" x14ac:dyDescent="0.25">
      <c r="A75" s="420"/>
      <c r="B75" s="450" t="s">
        <v>778</v>
      </c>
      <c r="C75" s="415"/>
      <c r="D75" s="415"/>
      <c r="E75" s="444" t="s">
        <v>521</v>
      </c>
      <c r="F75" s="454" t="s">
        <v>522</v>
      </c>
      <c r="G75" s="444" t="s">
        <v>524</v>
      </c>
      <c r="H75" s="487"/>
      <c r="J75" s="471"/>
    </row>
    <row r="76" spans="1:12" ht="15" customHeight="1" x14ac:dyDescent="0.25">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x14ac:dyDescent="0.25">
      <c r="A77" s="420"/>
      <c r="B77" s="450"/>
      <c r="C77" s="408" t="s">
        <v>519</v>
      </c>
      <c r="D77" s="415"/>
      <c r="E77" s="410"/>
      <c r="F77" s="457">
        <v>0.15</v>
      </c>
      <c r="G77" s="523"/>
      <c r="H77" s="484"/>
      <c r="J77" s="471"/>
    </row>
    <row r="78" spans="1:12" ht="15" hidden="1" customHeight="1" x14ac:dyDescent="0.25">
      <c r="A78" s="420"/>
      <c r="B78" s="415"/>
      <c r="C78" s="415"/>
      <c r="D78" s="456"/>
      <c r="E78" s="428"/>
      <c r="F78" s="415"/>
      <c r="G78" s="526">
        <f>G76+G77</f>
        <v>1031231</v>
      </c>
      <c r="H78" s="488"/>
      <c r="I78" s="537"/>
      <c r="J78" s="472"/>
    </row>
    <row r="79" spans="1:12" ht="15" customHeight="1" x14ac:dyDescent="0.25">
      <c r="A79" s="420"/>
      <c r="C79" s="524" t="s">
        <v>1015</v>
      </c>
      <c r="D79" s="456"/>
      <c r="E79" s="428"/>
      <c r="F79" s="415"/>
      <c r="G79" s="527">
        <f>IF(H74&gt;500000,0,IF(G78&gt;2000,2000,G78))</f>
        <v>0</v>
      </c>
      <c r="H79" s="489">
        <f>G78-G79</f>
        <v>1031231</v>
      </c>
      <c r="I79" s="537">
        <f>IF(H79&lt;&gt;0,0,"NIL")</f>
        <v>0</v>
      </c>
      <c r="J79" s="472"/>
    </row>
    <row r="80" spans="1:12" ht="15" customHeight="1" x14ac:dyDescent="0.25">
      <c r="A80" s="420"/>
      <c r="B80" s="408" t="s">
        <v>774</v>
      </c>
      <c r="C80" s="415"/>
      <c r="D80" s="456"/>
      <c r="E80" s="428"/>
      <c r="F80" s="415"/>
      <c r="G80" s="428"/>
      <c r="H80" s="489">
        <f>ROUND((H79)*0.02,0)</f>
        <v>20625</v>
      </c>
      <c r="I80" s="537">
        <f>IF(H80&lt;&gt;0,0,"NIL")</f>
        <v>0</v>
      </c>
      <c r="J80" s="472"/>
    </row>
    <row r="81" spans="1:11" ht="15" customHeight="1" x14ac:dyDescent="0.25">
      <c r="A81" s="420"/>
      <c r="B81" s="408" t="s">
        <v>775</v>
      </c>
      <c r="C81" s="415"/>
      <c r="D81" s="456"/>
      <c r="E81" s="458"/>
      <c r="F81" s="415"/>
      <c r="G81" s="428"/>
      <c r="H81" s="528">
        <f>ROUND((H79)*0.01,0)</f>
        <v>10312</v>
      </c>
      <c r="I81" s="540">
        <f>IF(H81&lt;&gt;0,0,"NIL")</f>
        <v>0</v>
      </c>
      <c r="J81" s="474"/>
    </row>
    <row r="82" spans="1:11" ht="15" customHeight="1" x14ac:dyDescent="0.25">
      <c r="A82" s="420"/>
      <c r="B82" s="450" t="s">
        <v>565</v>
      </c>
      <c r="C82" s="415"/>
      <c r="D82" s="456"/>
      <c r="E82" s="458"/>
      <c r="F82" s="415"/>
      <c r="G82" s="428"/>
      <c r="H82" s="488">
        <f>SUM(H79:H81)</f>
        <v>1062168</v>
      </c>
      <c r="I82" s="537"/>
      <c r="J82" s="472"/>
    </row>
    <row r="83" spans="1:11" ht="15" hidden="1" customHeight="1" x14ac:dyDescent="0.25">
      <c r="A83" s="420"/>
      <c r="B83" s="427"/>
      <c r="C83" s="428"/>
      <c r="D83" s="428"/>
      <c r="E83" s="428"/>
      <c r="F83" s="428"/>
      <c r="G83" s="428"/>
      <c r="H83" s="528"/>
      <c r="I83" s="540"/>
      <c r="J83" s="473"/>
    </row>
    <row r="84" spans="1:11" ht="15" hidden="1" customHeight="1" x14ac:dyDescent="0.25">
      <c r="A84" s="420"/>
      <c r="B84" s="450"/>
      <c r="C84" s="428"/>
      <c r="D84" s="428"/>
      <c r="E84" s="428"/>
      <c r="F84" s="428"/>
      <c r="G84" s="428"/>
      <c r="H84" s="491">
        <f>H82+H83</f>
        <v>1062168</v>
      </c>
      <c r="I84" s="537"/>
      <c r="J84" s="472"/>
    </row>
    <row r="85" spans="1:11" ht="15" customHeight="1" x14ac:dyDescent="0.25">
      <c r="A85" s="420"/>
      <c r="B85" s="415" t="s">
        <v>523</v>
      </c>
      <c r="C85" s="428"/>
      <c r="D85" s="428"/>
      <c r="E85" s="428"/>
      <c r="F85" s="428"/>
      <c r="G85" s="428"/>
      <c r="H85" s="492">
        <f>IF(Data!E2&gt;19814, Intt!I1, IF(H26&gt;0, Intt!I1,0))</f>
        <v>0</v>
      </c>
      <c r="I85" s="540" t="str">
        <f>IF(H85&lt;&gt;0,0,"NIL")</f>
        <v>NIL</v>
      </c>
      <c r="J85" s="473"/>
    </row>
    <row r="86" spans="1:11" ht="15" customHeight="1" x14ac:dyDescent="0.25">
      <c r="A86" s="420"/>
      <c r="B86" s="450" t="s">
        <v>768</v>
      </c>
      <c r="C86" s="428"/>
      <c r="D86" s="428"/>
      <c r="E86" s="428"/>
      <c r="F86" s="428"/>
      <c r="G86" s="428"/>
      <c r="H86" s="490">
        <f>H84+H85</f>
        <v>1062168</v>
      </c>
      <c r="I86" s="537">
        <f>IF(H86&lt;&gt;0,0,"NIL")</f>
        <v>0</v>
      </c>
      <c r="J86" s="472"/>
    </row>
    <row r="87" spans="1:11" ht="15" customHeight="1" x14ac:dyDescent="0.25">
      <c r="A87" s="420"/>
      <c r="B87" s="421" t="s">
        <v>571</v>
      </c>
      <c r="C87" s="428"/>
      <c r="D87" s="428"/>
      <c r="E87" s="428"/>
      <c r="F87" s="428"/>
      <c r="G87" s="428"/>
      <c r="H87" s="490"/>
      <c r="I87" s="537"/>
      <c r="J87" s="471"/>
    </row>
    <row r="88" spans="1:11" ht="15" customHeight="1" x14ac:dyDescent="0.3">
      <c r="A88" s="420"/>
      <c r="B88" s="667">
        <v>42248</v>
      </c>
      <c r="C88" s="1340" t="s">
        <v>993</v>
      </c>
      <c r="D88" s="1340"/>
      <c r="E88" s="1340"/>
      <c r="F88" s="1340"/>
      <c r="G88" s="447">
        <v>91000</v>
      </c>
      <c r="H88" s="482"/>
      <c r="I88" s="536"/>
      <c r="J88" s="472"/>
    </row>
    <row r="89" spans="1:11" ht="15" customHeight="1" x14ac:dyDescent="0.3">
      <c r="A89" s="420"/>
      <c r="B89" s="588">
        <f>SUM(G88:G90)</f>
        <v>1191000</v>
      </c>
      <c r="C89" s="1340" t="s">
        <v>1180</v>
      </c>
      <c r="D89" s="1340"/>
      <c r="E89" s="1340"/>
      <c r="F89" s="1340"/>
      <c r="G89" s="410">
        <v>900000</v>
      </c>
      <c r="H89" s="482"/>
      <c r="I89" s="536"/>
      <c r="J89" s="472"/>
    </row>
    <row r="90" spans="1:11" ht="12.75" customHeight="1" x14ac:dyDescent="0.3">
      <c r="A90" s="420"/>
      <c r="B90" s="459"/>
      <c r="C90" s="1340" t="s">
        <v>1191</v>
      </c>
      <c r="D90" s="1340"/>
      <c r="E90" s="1340"/>
      <c r="F90" s="1340"/>
      <c r="G90" s="410">
        <v>200000</v>
      </c>
      <c r="H90" s="482"/>
      <c r="I90" s="536"/>
      <c r="J90" s="472"/>
    </row>
    <row r="91" spans="1:11" ht="12.75" customHeight="1" thickBot="1" x14ac:dyDescent="0.35">
      <c r="A91" s="414"/>
      <c r="B91" s="477"/>
      <c r="C91" s="1342" t="s">
        <v>1192</v>
      </c>
      <c r="D91" s="1342"/>
      <c r="E91" s="1342"/>
      <c r="F91" s="1342"/>
      <c r="G91" s="481">
        <v>160000</v>
      </c>
      <c r="H91" s="493">
        <f>SUM(G88:G91)</f>
        <v>1351000</v>
      </c>
      <c r="I91" s="541">
        <f>IF(H91&lt;&gt;0,0,"NIL")</f>
        <v>0</v>
      </c>
      <c r="J91" s="478"/>
    </row>
    <row r="92" spans="1:11" ht="18" customHeight="1" thickBot="1" x14ac:dyDescent="0.3">
      <c r="A92" s="494"/>
      <c r="B92" s="495" t="str">
        <f>IF(H92=0,"TAX  PAYABLE / REFUND ",IF(H92&lt;0,"REFUND","TAX  PAYABLE"))</f>
        <v>REFUND</v>
      </c>
      <c r="C92" s="496"/>
      <c r="D92" s="496"/>
      <c r="E92" s="497"/>
      <c r="F92" s="498" t="s">
        <v>776</v>
      </c>
      <c r="G92" s="497"/>
      <c r="H92" s="499">
        <f>ROUND((H86-H91)/10,0)*10</f>
        <v>-288830</v>
      </c>
      <c r="I92" s="542">
        <f>IF(H92&lt;&gt;0,0,"NIL")</f>
        <v>0</v>
      </c>
      <c r="J92" s="500"/>
    </row>
    <row r="93" spans="1:11" x14ac:dyDescent="0.25">
      <c r="A93" s="567"/>
      <c r="B93" s="570"/>
      <c r="C93" s="570"/>
      <c r="D93" s="570"/>
      <c r="E93" s="570"/>
      <c r="F93" s="570"/>
      <c r="G93" s="570"/>
      <c r="H93" s="570"/>
      <c r="I93" s="568"/>
      <c r="J93" s="569"/>
      <c r="K93" s="554"/>
    </row>
    <row r="94" spans="1:11" x14ac:dyDescent="0.25">
      <c r="A94" s="567"/>
      <c r="B94" s="554"/>
      <c r="C94" s="554"/>
      <c r="D94" s="554"/>
      <c r="E94" s="554"/>
      <c r="F94" s="554"/>
      <c r="G94" s="554"/>
      <c r="H94" s="554"/>
      <c r="I94" s="568"/>
      <c r="J94" s="569"/>
      <c r="K94" s="554"/>
    </row>
    <row r="95" spans="1:11" x14ac:dyDescent="0.25">
      <c r="A95" s="567"/>
      <c r="B95" s="554"/>
      <c r="C95" s="554"/>
      <c r="D95" s="554"/>
      <c r="E95" s="554"/>
      <c r="F95" s="554"/>
      <c r="G95" s="554"/>
      <c r="H95" s="554"/>
      <c r="I95" s="568"/>
      <c r="J95" s="569"/>
      <c r="K95" s="554"/>
    </row>
    <row r="96" spans="1:11" x14ac:dyDescent="0.25">
      <c r="A96" s="567"/>
      <c r="B96" s="554"/>
      <c r="C96" s="554"/>
      <c r="D96" s="554"/>
      <c r="E96" s="554"/>
      <c r="F96" s="554"/>
      <c r="G96" s="554"/>
      <c r="H96" s="554"/>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xr:uid="{00000000-0002-0000-0900-000000000000}">
      <formula1>"SALARY RECEIVED, PENSION RECEIVED"</formula1>
    </dataValidation>
    <dataValidation type="list" errorStyle="information" allowBlank="1" showInputMessage="1" showErrorMessage="1" sqref="C56" xr:uid="{00000000-0002-0000-09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5"/>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1239</v>
      </c>
      <c r="D4" s="422"/>
      <c r="E4" s="415"/>
      <c r="F4" s="423"/>
      <c r="G4" s="411">
        <v>4600000</v>
      </c>
      <c r="H4" s="482"/>
      <c r="I4" s="536"/>
      <c r="J4" s="471"/>
    </row>
    <row r="5" spans="1:10" ht="15" customHeight="1" x14ac:dyDescent="0.25">
      <c r="A5" s="420"/>
      <c r="B5" s="421"/>
      <c r="C5" s="408" t="s">
        <v>1241</v>
      </c>
      <c r="D5" s="422"/>
      <c r="E5" s="415"/>
      <c r="F5" s="423"/>
      <c r="G5" s="411">
        <f>40000-38000</f>
        <v>2000</v>
      </c>
      <c r="H5" s="482"/>
      <c r="I5" s="536"/>
      <c r="J5" s="471"/>
    </row>
    <row r="6" spans="1:10" ht="15" customHeight="1" x14ac:dyDescent="0.25">
      <c r="A6" s="420"/>
      <c r="B6" s="421"/>
      <c r="C6" s="408" t="s">
        <v>1240</v>
      </c>
      <c r="D6" s="422"/>
      <c r="E6" s="415"/>
      <c r="F6" s="423"/>
      <c r="G6" s="411">
        <v>1100</v>
      </c>
      <c r="H6" s="482"/>
      <c r="I6" s="536"/>
      <c r="J6" s="471"/>
    </row>
    <row r="7" spans="1:10" ht="15" customHeight="1" x14ac:dyDescent="0.25">
      <c r="A7" s="420"/>
      <c r="B7" s="421"/>
      <c r="C7" s="422" t="s">
        <v>1194</v>
      </c>
      <c r="D7" s="422"/>
      <c r="E7" s="415"/>
      <c r="F7" s="423"/>
      <c r="G7" s="411">
        <f>6000+18000</f>
        <v>24000</v>
      </c>
      <c r="H7" s="482"/>
      <c r="I7" s="536"/>
      <c r="J7" s="471"/>
    </row>
    <row r="8" spans="1:10" ht="15" customHeight="1" x14ac:dyDescent="0.25">
      <c r="A8" s="420"/>
      <c r="B8" s="415"/>
      <c r="C8" s="422" t="s">
        <v>1175</v>
      </c>
      <c r="D8" s="415"/>
      <c r="E8" s="415"/>
      <c r="F8" s="415"/>
      <c r="G8" s="425">
        <v>2000</v>
      </c>
      <c r="H8" s="482">
        <f>SUM(G4:G8)</f>
        <v>4629100</v>
      </c>
      <c r="I8" s="537">
        <f>IF(H8&lt;&gt;0,0,"NIL")</f>
        <v>0</v>
      </c>
      <c r="J8" s="472"/>
    </row>
    <row r="9" spans="1:10" ht="15" customHeight="1" x14ac:dyDescent="0.25">
      <c r="A9" s="420"/>
      <c r="B9" s="426" t="s">
        <v>995</v>
      </c>
      <c r="C9" s="415"/>
      <c r="D9" s="415"/>
      <c r="E9" s="525" t="s">
        <v>1014</v>
      </c>
      <c r="F9" s="423"/>
      <c r="G9" s="415"/>
      <c r="H9" s="482"/>
      <c r="I9" s="537"/>
      <c r="J9" s="472"/>
    </row>
    <row r="10" spans="1:10" ht="15" customHeight="1" x14ac:dyDescent="0.25">
      <c r="A10" s="420"/>
      <c r="B10" s="426"/>
      <c r="C10" s="583" t="s">
        <v>1127</v>
      </c>
      <c r="D10" s="422"/>
      <c r="E10" s="672" t="s">
        <v>1184</v>
      </c>
      <c r="F10" s="679"/>
      <c r="G10" s="411">
        <v>1000000</v>
      </c>
      <c r="H10" s="482"/>
      <c r="I10" s="537"/>
      <c r="J10" s="472"/>
    </row>
    <row r="11" spans="1:10" ht="15" customHeight="1" x14ac:dyDescent="0.25">
      <c r="A11" s="420"/>
      <c r="B11" s="426"/>
      <c r="C11" s="408" t="s">
        <v>1242</v>
      </c>
      <c r="D11" s="415"/>
      <c r="E11" s="408"/>
      <c r="F11" s="415"/>
      <c r="G11" s="479">
        <v>14700</v>
      </c>
      <c r="H11" s="482"/>
      <c r="I11" s="537"/>
      <c r="J11" s="472"/>
    </row>
    <row r="12" spans="1:10" ht="15" customHeight="1" x14ac:dyDescent="0.25">
      <c r="A12" s="420"/>
      <c r="B12" s="426"/>
      <c r="C12" s="408"/>
      <c r="D12" s="415"/>
      <c r="E12" s="408"/>
      <c r="F12" s="415"/>
      <c r="G12" s="423">
        <f>IF((G10-G11)&lt;0,0,(G10-G11))</f>
        <v>985300</v>
      </c>
      <c r="H12" s="482"/>
      <c r="I12" s="537"/>
      <c r="J12" s="472"/>
    </row>
    <row r="13" spans="1:10" ht="15" customHeight="1" x14ac:dyDescent="0.25">
      <c r="A13" s="420"/>
      <c r="B13" s="426"/>
      <c r="C13" s="590" t="s">
        <v>514</v>
      </c>
      <c r="D13" s="415"/>
      <c r="E13" s="408" t="s">
        <v>1093</v>
      </c>
      <c r="F13" s="415">
        <f>G12*0.3</f>
        <v>295590</v>
      </c>
      <c r="G13" s="423"/>
      <c r="H13" s="482"/>
      <c r="I13" s="537"/>
      <c r="J13" s="472"/>
    </row>
    <row r="14" spans="1:10" ht="15" customHeight="1" x14ac:dyDescent="0.3">
      <c r="A14" s="420"/>
      <c r="B14" s="426"/>
      <c r="D14" s="415"/>
      <c r="E14" s="434" t="s">
        <v>1094</v>
      </c>
      <c r="F14" s="591">
        <v>210000</v>
      </c>
      <c r="G14" s="681">
        <f>F13+F14</f>
        <v>505590</v>
      </c>
      <c r="H14" s="482"/>
      <c r="I14" s="537"/>
      <c r="J14" s="472"/>
    </row>
    <row r="15" spans="1:10" ht="15" customHeight="1" thickBot="1" x14ac:dyDescent="0.35">
      <c r="A15" s="420"/>
      <c r="B15" s="426"/>
      <c r="D15" s="415"/>
      <c r="E15" s="434"/>
      <c r="F15" s="423"/>
      <c r="G15" s="674">
        <f>G12-G14</f>
        <v>479710</v>
      </c>
      <c r="H15" s="484"/>
      <c r="I15" s="537"/>
      <c r="J15" s="472"/>
    </row>
    <row r="16" spans="1:10" ht="15" hidden="1" customHeight="1" thickTop="1" x14ac:dyDescent="0.25">
      <c r="A16" s="420"/>
      <c r="B16" s="415"/>
      <c r="C16" s="583" t="s">
        <v>1164</v>
      </c>
      <c r="D16" s="422"/>
      <c r="E16" s="663" t="s">
        <v>1185</v>
      </c>
      <c r="F16" s="428"/>
      <c r="G16" s="411"/>
      <c r="H16" s="482"/>
      <c r="I16" s="537"/>
      <c r="J16" s="472"/>
    </row>
    <row r="17" spans="1:10" ht="15" hidden="1" customHeight="1" x14ac:dyDescent="0.25">
      <c r="A17" s="420"/>
      <c r="B17" s="415"/>
      <c r="C17" s="408" t="s">
        <v>769</v>
      </c>
      <c r="D17" s="415"/>
      <c r="E17" s="408"/>
      <c r="F17" s="415"/>
      <c r="G17" s="479"/>
      <c r="H17" s="482"/>
      <c r="I17" s="537"/>
      <c r="J17" s="472"/>
    </row>
    <row r="18" spans="1:10" ht="15" hidden="1" customHeight="1" x14ac:dyDescent="0.25">
      <c r="A18" s="420"/>
      <c r="B18" s="415"/>
      <c r="C18" s="408"/>
      <c r="D18" s="415"/>
      <c r="E18" s="408"/>
      <c r="F18" s="415"/>
      <c r="G18" s="423">
        <f>IF((G16-G17)&lt;0,0,(G16-G17))</f>
        <v>0</v>
      </c>
      <c r="H18" s="482"/>
      <c r="I18" s="537"/>
      <c r="J18" s="472"/>
    </row>
    <row r="19" spans="1:10" ht="15" hidden="1" customHeight="1" x14ac:dyDescent="0.25">
      <c r="A19" s="420"/>
      <c r="B19" s="415"/>
      <c r="C19" s="590" t="s">
        <v>514</v>
      </c>
      <c r="D19" s="415"/>
      <c r="E19" s="408" t="s">
        <v>1093</v>
      </c>
      <c r="F19" s="415">
        <f>G18*0.3</f>
        <v>0</v>
      </c>
      <c r="G19" s="423"/>
      <c r="H19" s="482"/>
      <c r="I19" s="537"/>
      <c r="J19" s="472"/>
    </row>
    <row r="20" spans="1:10" ht="15" hidden="1" customHeight="1" x14ac:dyDescent="0.3">
      <c r="A20" s="420"/>
      <c r="B20" s="415"/>
      <c r="C20" s="590"/>
      <c r="D20" s="415"/>
      <c r="E20" s="434" t="s">
        <v>1094</v>
      </c>
      <c r="F20" s="673"/>
      <c r="G20" s="681"/>
      <c r="H20" s="482"/>
      <c r="I20" s="537"/>
      <c r="J20" s="472"/>
    </row>
    <row r="21" spans="1:10" ht="15" hidden="1" customHeight="1" thickBot="1" x14ac:dyDescent="0.3">
      <c r="A21" s="420"/>
      <c r="B21" s="415"/>
      <c r="D21" s="415"/>
      <c r="G21" s="693">
        <f>0-G20</f>
        <v>0</v>
      </c>
      <c r="H21" s="484"/>
      <c r="I21" s="537">
        <f>IF(H25&lt;&gt;0,0,"NIL")</f>
        <v>0</v>
      </c>
      <c r="J21" s="472"/>
    </row>
    <row r="22" spans="1:10" ht="15" hidden="1" customHeight="1" x14ac:dyDescent="0.25">
      <c r="A22" s="420"/>
      <c r="B22" s="421" t="s">
        <v>996</v>
      </c>
      <c r="C22" s="408"/>
      <c r="D22" s="415"/>
      <c r="E22" s="429"/>
      <c r="F22" s="423"/>
      <c r="G22" s="415"/>
      <c r="H22" s="482"/>
      <c r="I22" s="537"/>
      <c r="J22" s="472"/>
    </row>
    <row r="23" spans="1:10" ht="15" hidden="1" customHeight="1" x14ac:dyDescent="0.25">
      <c r="A23" s="420"/>
      <c r="B23" s="415"/>
      <c r="C23" s="408" t="s">
        <v>991</v>
      </c>
      <c r="D23" s="415"/>
      <c r="E23" s="429"/>
      <c r="F23" s="423"/>
      <c r="G23" s="411"/>
      <c r="H23" s="482"/>
      <c r="I23" s="537"/>
      <c r="J23" s="472"/>
    </row>
    <row r="24" spans="1:10" ht="15" hidden="1" customHeight="1" x14ac:dyDescent="0.25">
      <c r="A24" s="420"/>
      <c r="B24" s="415"/>
      <c r="C24" s="408" t="s">
        <v>992</v>
      </c>
      <c r="D24" s="415"/>
      <c r="E24" s="429"/>
      <c r="F24" s="423"/>
      <c r="G24" s="479"/>
      <c r="H24" s="483">
        <f>G23-G24</f>
        <v>0</v>
      </c>
      <c r="I24" s="537" t="str">
        <f>IF(H24&lt;&gt;0,0,"NIL")</f>
        <v>NIL</v>
      </c>
      <c r="J24" s="472"/>
    </row>
    <row r="25" spans="1:10" ht="17.25" customHeight="1" thickTop="1" x14ac:dyDescent="0.25">
      <c r="A25" s="420"/>
      <c r="B25" s="415"/>
      <c r="C25" s="408" t="s">
        <v>1238</v>
      </c>
      <c r="E25" s="429"/>
      <c r="F25" s="423"/>
      <c r="G25" s="694">
        <v>6300</v>
      </c>
      <c r="H25" s="482">
        <f>G15+G25</f>
        <v>486010</v>
      </c>
      <c r="I25" s="537"/>
      <c r="J25" s="472"/>
    </row>
    <row r="26" spans="1:10" ht="15" customHeight="1" x14ac:dyDescent="0.25">
      <c r="A26" s="420"/>
      <c r="B26" s="421" t="s">
        <v>997</v>
      </c>
      <c r="C26" s="415"/>
      <c r="D26" s="415"/>
      <c r="E26" s="415"/>
      <c r="F26" s="415"/>
      <c r="G26" s="415"/>
      <c r="H26" s="482"/>
      <c r="I26" s="537"/>
      <c r="J26" s="472"/>
    </row>
    <row r="27" spans="1:10" x14ac:dyDescent="0.25">
      <c r="A27" s="420"/>
      <c r="B27" s="415"/>
      <c r="C27" s="408" t="s">
        <v>498</v>
      </c>
      <c r="D27" s="415"/>
      <c r="E27" s="415"/>
      <c r="F27" s="415"/>
      <c r="G27" s="411"/>
      <c r="H27" s="482"/>
      <c r="I27" s="537"/>
      <c r="J27" s="472"/>
    </row>
    <row r="28" spans="1:10" x14ac:dyDescent="0.25">
      <c r="A28" s="420"/>
      <c r="B28" s="415"/>
      <c r="C28" s="680" t="s">
        <v>77</v>
      </c>
      <c r="D28" s="415"/>
      <c r="E28" s="415"/>
      <c r="F28" s="415"/>
      <c r="G28" s="411"/>
      <c r="H28" s="482"/>
      <c r="I28" s="537"/>
      <c r="J28" s="472"/>
    </row>
    <row r="29" spans="1:10" x14ac:dyDescent="0.25">
      <c r="A29" s="420"/>
      <c r="B29" s="415"/>
      <c r="C29" s="408"/>
      <c r="D29" s="415" t="s">
        <v>1195</v>
      </c>
      <c r="F29" s="408">
        <v>9200000</v>
      </c>
      <c r="G29" s="411"/>
      <c r="H29" s="482"/>
      <c r="I29" s="537"/>
      <c r="J29" s="472"/>
    </row>
    <row r="30" spans="1:10" x14ac:dyDescent="0.25">
      <c r="A30" s="420"/>
      <c r="B30" s="415"/>
      <c r="C30" s="408"/>
      <c r="D30" s="415" t="s">
        <v>1196</v>
      </c>
      <c r="F30" s="408">
        <f>90000*-1</f>
        <v>-90000</v>
      </c>
      <c r="G30" s="411"/>
      <c r="H30" s="482"/>
      <c r="I30" s="537"/>
      <c r="J30" s="472"/>
    </row>
    <row r="31" spans="1:10" x14ac:dyDescent="0.25">
      <c r="A31" s="420"/>
      <c r="B31" s="695" t="s">
        <v>1233</v>
      </c>
      <c r="C31" s="408" t="s">
        <v>1232</v>
      </c>
      <c r="D31" s="415" t="s">
        <v>1197</v>
      </c>
      <c r="E31" s="415">
        <f>ROUND(115000*1081/463,0)</f>
        <v>268499</v>
      </c>
      <c r="F31" s="682">
        <f>E31*-1</f>
        <v>-268499</v>
      </c>
      <c r="G31" s="411"/>
      <c r="H31" s="482"/>
      <c r="I31" s="537"/>
      <c r="J31" s="472"/>
    </row>
    <row r="32" spans="1:10" x14ac:dyDescent="0.25">
      <c r="A32" s="420"/>
      <c r="B32" s="695" t="s">
        <v>1234</v>
      </c>
      <c r="C32" s="408" t="s">
        <v>1235</v>
      </c>
      <c r="D32" s="415" t="s">
        <v>1198</v>
      </c>
      <c r="E32" s="415">
        <f>ROUND(12000*1081/519,0)</f>
        <v>24994</v>
      </c>
      <c r="F32" s="683">
        <f>E32*-1</f>
        <v>-24994</v>
      </c>
      <c r="G32" s="411"/>
      <c r="H32" s="482"/>
      <c r="I32" s="537"/>
      <c r="J32" s="472"/>
    </row>
    <row r="33" spans="1:10" x14ac:dyDescent="0.25">
      <c r="A33" s="420"/>
      <c r="B33" s="415"/>
      <c r="C33" s="408"/>
      <c r="D33" s="415"/>
      <c r="E33" s="415" t="s">
        <v>1199</v>
      </c>
      <c r="F33" s="682">
        <f>SUM(F29:F32)</f>
        <v>8816507</v>
      </c>
      <c r="G33" s="411"/>
      <c r="H33" s="482"/>
      <c r="I33" s="537"/>
      <c r="J33" s="472"/>
    </row>
    <row r="34" spans="1:10" x14ac:dyDescent="0.25">
      <c r="A34" s="420"/>
      <c r="B34" s="415"/>
      <c r="C34" s="408"/>
      <c r="D34" s="415"/>
      <c r="E34" s="427" t="s">
        <v>1231</v>
      </c>
      <c r="F34" s="683">
        <f>1000000*-1</f>
        <v>-1000000</v>
      </c>
      <c r="G34" s="411"/>
      <c r="H34" s="482"/>
      <c r="I34" s="537"/>
      <c r="J34" s="472"/>
    </row>
    <row r="35" spans="1:10" x14ac:dyDescent="0.25">
      <c r="A35" s="420"/>
      <c r="B35" s="415"/>
      <c r="C35" s="408"/>
      <c r="D35" s="415"/>
      <c r="G35" s="411">
        <f>F33+F34</f>
        <v>7816507</v>
      </c>
      <c r="H35" s="482"/>
      <c r="I35" s="537"/>
      <c r="J35" s="472"/>
    </row>
    <row r="36" spans="1:10" x14ac:dyDescent="0.25">
      <c r="A36" s="420"/>
      <c r="B36" s="415"/>
      <c r="E36" s="416" t="s">
        <v>1230</v>
      </c>
      <c r="G36" s="523">
        <f>300000*-1</f>
        <v>-300000</v>
      </c>
      <c r="H36" s="482">
        <f>G35+G36</f>
        <v>7516507</v>
      </c>
      <c r="I36" s="537">
        <f>IF(H36&lt;&gt;0,0,"NIL")</f>
        <v>0</v>
      </c>
      <c r="J36" s="472"/>
    </row>
    <row r="37" spans="1:10" ht="20.100000000000001" customHeight="1" x14ac:dyDescent="0.25">
      <c r="A37" s="420"/>
      <c r="B37" s="421" t="s">
        <v>998</v>
      </c>
      <c r="C37" s="415"/>
      <c r="D37" s="415"/>
      <c r="E37" s="415"/>
      <c r="F37" s="415"/>
      <c r="G37" s="415"/>
      <c r="H37" s="482"/>
      <c r="I37" s="536"/>
      <c r="J37" s="471"/>
    </row>
    <row r="38" spans="1:10" x14ac:dyDescent="0.25">
      <c r="A38" s="420"/>
      <c r="B38" s="636"/>
      <c r="C38" s="431"/>
      <c r="D38" s="431"/>
      <c r="E38" s="431"/>
      <c r="F38" s="415"/>
      <c r="G38" s="677"/>
      <c r="H38" s="482"/>
      <c r="I38" s="536"/>
      <c r="J38" s="471"/>
    </row>
    <row r="39" spans="1:10" x14ac:dyDescent="0.25">
      <c r="A39" s="420"/>
      <c r="B39" s="636"/>
      <c r="C39" s="431" t="s">
        <v>1200</v>
      </c>
      <c r="D39" s="431"/>
      <c r="E39" s="431" t="s">
        <v>1167</v>
      </c>
      <c r="F39" s="415"/>
      <c r="G39" s="411">
        <v>200000</v>
      </c>
      <c r="H39" s="482"/>
      <c r="I39" s="536"/>
      <c r="J39" s="471"/>
    </row>
    <row r="40" spans="1:10" x14ac:dyDescent="0.25">
      <c r="A40" s="420"/>
      <c r="B40" s="636"/>
      <c r="C40" s="431" t="s">
        <v>1201</v>
      </c>
      <c r="D40" s="431"/>
      <c r="E40" s="431"/>
      <c r="F40" s="408"/>
      <c r="G40" s="411">
        <v>51000</v>
      </c>
      <c r="H40" s="482"/>
      <c r="I40" s="536"/>
      <c r="J40" s="471"/>
    </row>
    <row r="41" spans="1:10" ht="15" customHeight="1" x14ac:dyDescent="0.3">
      <c r="A41" s="420"/>
      <c r="B41" s="589"/>
      <c r="C41" s="431"/>
      <c r="D41" s="434"/>
      <c r="E41" s="433"/>
      <c r="F41" s="433"/>
      <c r="G41" s="480">
        <f>SUM(G38:G40)</f>
        <v>251000</v>
      </c>
      <c r="H41" s="482"/>
      <c r="I41" s="536"/>
      <c r="J41" s="471"/>
    </row>
    <row r="42" spans="1:10" ht="15" hidden="1" customHeight="1" x14ac:dyDescent="0.25">
      <c r="A42" s="420"/>
      <c r="B42" s="589"/>
      <c r="C42" s="435" t="s">
        <v>512</v>
      </c>
      <c r="D42" s="436"/>
      <c r="E42" s="436"/>
      <c r="F42" s="436"/>
      <c r="G42" s="437"/>
      <c r="H42" s="482"/>
      <c r="I42" s="536"/>
      <c r="J42" s="471"/>
    </row>
    <row r="43" spans="1:10" ht="15" hidden="1" customHeight="1" x14ac:dyDescent="0.25">
      <c r="A43" s="420"/>
      <c r="B43" s="589"/>
      <c r="G43" s="410"/>
      <c r="H43" s="482"/>
      <c r="I43" s="536"/>
      <c r="J43" s="471"/>
    </row>
    <row r="44" spans="1:10" ht="15" hidden="1" customHeight="1" x14ac:dyDescent="0.25">
      <c r="A44" s="420"/>
      <c r="B44" s="589"/>
      <c r="G44" s="410"/>
      <c r="H44" s="482"/>
      <c r="I44" s="536"/>
      <c r="J44" s="471"/>
    </row>
    <row r="45" spans="1:10" ht="15" hidden="1" customHeight="1" x14ac:dyDescent="0.25">
      <c r="A45" s="420"/>
      <c r="B45" s="589"/>
      <c r="C45" s="436" t="s">
        <v>846</v>
      </c>
      <c r="D45" s="436"/>
      <c r="E45" s="415"/>
      <c r="F45" s="438"/>
      <c r="G45" s="437"/>
      <c r="H45" s="482"/>
      <c r="I45" s="536"/>
      <c r="J45" s="471"/>
    </row>
    <row r="46" spans="1:10" ht="15" hidden="1" customHeight="1" x14ac:dyDescent="0.25">
      <c r="A46" s="420"/>
      <c r="B46" s="589"/>
      <c r="C46" s="432" t="s">
        <v>847</v>
      </c>
      <c r="D46" s="415"/>
      <c r="E46" s="415"/>
      <c r="F46" s="461">
        <f>ROUND(IF(F45/3&gt;15000,15000,F45/3),0)</f>
        <v>0</v>
      </c>
      <c r="G46" s="447">
        <f>F45-F46</f>
        <v>0</v>
      </c>
      <c r="H46" s="482"/>
      <c r="I46" s="536"/>
      <c r="J46" s="471"/>
    </row>
    <row r="47" spans="1:10" ht="15" hidden="1" customHeight="1" x14ac:dyDescent="0.25">
      <c r="A47" s="420"/>
      <c r="B47" s="589"/>
      <c r="C47" s="415"/>
      <c r="D47" s="415"/>
      <c r="E47" s="415"/>
      <c r="F47" s="415"/>
      <c r="G47" s="480">
        <f>SUM(G43:G46)</f>
        <v>0</v>
      </c>
      <c r="H47" s="484"/>
      <c r="J47" s="472"/>
    </row>
    <row r="48" spans="1:10" ht="15" customHeight="1" x14ac:dyDescent="0.25">
      <c r="A48" s="420"/>
      <c r="B48" s="589"/>
      <c r="C48" s="415"/>
      <c r="D48" s="415"/>
      <c r="E48" s="415"/>
      <c r="F48" s="415"/>
      <c r="G48" s="437"/>
      <c r="H48" s="482">
        <f>+G41</f>
        <v>251000</v>
      </c>
      <c r="I48" s="537">
        <f>IF(H48&lt;&gt;0,0,"NIL")</f>
        <v>0</v>
      </c>
      <c r="J48" s="472"/>
    </row>
    <row r="49" spans="1:10" ht="15" hidden="1" customHeight="1" x14ac:dyDescent="0.3">
      <c r="A49" s="420"/>
      <c r="B49" s="589"/>
      <c r="C49" s="439" t="s">
        <v>564</v>
      </c>
      <c r="D49" s="436"/>
      <c r="E49" s="436"/>
      <c r="F49" s="440"/>
      <c r="G49" s="437"/>
      <c r="H49" s="484"/>
      <c r="J49" s="472"/>
    </row>
    <row r="50" spans="1:10" ht="12.75" hidden="1" customHeight="1" x14ac:dyDescent="0.25">
      <c r="A50" s="420"/>
      <c r="B50" s="421"/>
      <c r="C50" s="409" t="s">
        <v>851</v>
      </c>
      <c r="D50" s="436"/>
      <c r="E50" s="441"/>
      <c r="F50" s="442"/>
      <c r="G50" s="430"/>
      <c r="H50" s="482"/>
      <c r="I50" s="536"/>
      <c r="J50" s="471"/>
    </row>
    <row r="51" spans="1:10" ht="12.75" hidden="1" customHeight="1" x14ac:dyDescent="0.25">
      <c r="A51" s="420"/>
      <c r="B51" s="421"/>
      <c r="C51" s="409" t="s">
        <v>981</v>
      </c>
      <c r="D51" s="436"/>
      <c r="E51" s="441"/>
      <c r="F51" s="442"/>
      <c r="G51" s="430"/>
      <c r="H51" s="482"/>
      <c r="I51" s="536"/>
      <c r="J51" s="471"/>
    </row>
    <row r="52" spans="1:10" ht="12.75" hidden="1" customHeight="1" x14ac:dyDescent="0.25">
      <c r="A52" s="420"/>
      <c r="B52" s="421"/>
      <c r="C52" s="409" t="s">
        <v>982</v>
      </c>
      <c r="D52" s="436"/>
      <c r="E52" s="441"/>
      <c r="F52" s="442"/>
      <c r="G52" s="430"/>
      <c r="H52" s="482"/>
      <c r="I52" s="536"/>
      <c r="J52" s="471"/>
    </row>
    <row r="53" spans="1:10" ht="12.75" hidden="1" customHeight="1" x14ac:dyDescent="0.25">
      <c r="A53" s="420"/>
      <c r="B53" s="421"/>
      <c r="C53" s="409" t="s">
        <v>983</v>
      </c>
      <c r="D53" s="436"/>
      <c r="E53" s="415"/>
      <c r="F53" s="442"/>
      <c r="G53" s="430"/>
      <c r="H53" s="482"/>
      <c r="I53" s="536"/>
      <c r="J53" s="471"/>
    </row>
    <row r="54" spans="1:10" ht="12.75" hidden="1" customHeight="1" thickBot="1" x14ac:dyDescent="0.3">
      <c r="A54" s="420"/>
      <c r="B54" s="428"/>
      <c r="C54" s="435"/>
      <c r="D54" s="436"/>
      <c r="E54" s="415"/>
      <c r="F54" s="443">
        <f>SUM(F50:F53)</f>
        <v>0</v>
      </c>
      <c r="G54" s="437"/>
      <c r="H54" s="484"/>
      <c r="J54" s="471"/>
    </row>
    <row r="55" spans="1:10" ht="12.75" customHeight="1" x14ac:dyDescent="0.25">
      <c r="A55" s="420"/>
      <c r="B55" s="428"/>
      <c r="C55" s="435"/>
      <c r="D55" s="436"/>
      <c r="E55" s="415"/>
      <c r="F55" s="444"/>
      <c r="G55" s="437"/>
      <c r="H55" s="484"/>
      <c r="I55" s="538"/>
      <c r="J55" s="534"/>
    </row>
    <row r="56" spans="1:10" ht="15" customHeight="1" x14ac:dyDescent="0.25">
      <c r="A56" s="420"/>
      <c r="B56" s="421" t="s">
        <v>501</v>
      </c>
      <c r="C56" s="415"/>
      <c r="D56" s="415"/>
      <c r="E56" s="428"/>
      <c r="F56" s="428"/>
      <c r="G56" s="424"/>
      <c r="H56" s="485">
        <f>SUM(H8:H54)</f>
        <v>12882617</v>
      </c>
      <c r="I56" s="537">
        <f>IF(H56&lt;&gt;0,0,"NIL")</f>
        <v>0</v>
      </c>
      <c r="J56" s="472"/>
    </row>
    <row r="57" spans="1:10" ht="15" customHeight="1" x14ac:dyDescent="0.25">
      <c r="A57" s="420"/>
      <c r="B57" s="445" t="s">
        <v>999</v>
      </c>
      <c r="C57" s="415"/>
      <c r="D57" s="415"/>
      <c r="E57" s="415"/>
      <c r="F57" s="415"/>
      <c r="G57" s="415"/>
      <c r="H57" s="482"/>
      <c r="I57" s="536"/>
      <c r="J57" s="471"/>
    </row>
    <row r="58" spans="1:10" ht="12.75" customHeight="1" x14ac:dyDescent="0.25">
      <c r="A58" s="420"/>
      <c r="B58" s="446"/>
      <c r="C58" s="435" t="s">
        <v>1080</v>
      </c>
      <c r="D58" s="415"/>
      <c r="E58" s="415"/>
      <c r="F58" s="415"/>
      <c r="G58" s="423"/>
      <c r="H58" s="482"/>
      <c r="I58" s="536"/>
      <c r="J58" s="471"/>
    </row>
    <row r="59" spans="1:10" ht="12.75" hidden="1" customHeight="1" x14ac:dyDescent="0.25">
      <c r="A59" s="420"/>
      <c r="B59" s="446"/>
      <c r="C59" s="431" t="s">
        <v>510</v>
      </c>
      <c r="D59" s="415"/>
      <c r="E59" s="415"/>
      <c r="F59" s="411"/>
      <c r="G59" s="423"/>
      <c r="H59" s="482"/>
      <c r="I59" s="536"/>
      <c r="J59" s="471"/>
    </row>
    <row r="60" spans="1:10" ht="12.75" hidden="1" customHeight="1" x14ac:dyDescent="0.25">
      <c r="A60" s="420"/>
      <c r="B60" s="446"/>
      <c r="C60" s="431" t="s">
        <v>1081</v>
      </c>
      <c r="D60" s="415"/>
      <c r="E60" s="415"/>
      <c r="F60" s="411"/>
      <c r="G60" s="423"/>
      <c r="H60" s="482"/>
      <c r="I60" s="536"/>
      <c r="J60" s="471"/>
    </row>
    <row r="61" spans="1:10" ht="12.75" hidden="1" customHeight="1" x14ac:dyDescent="0.25">
      <c r="A61" s="420"/>
      <c r="B61" s="446"/>
      <c r="C61" s="431" t="s">
        <v>985</v>
      </c>
      <c r="D61" s="415"/>
      <c r="E61" s="415"/>
      <c r="F61" s="411"/>
      <c r="G61" s="423"/>
      <c r="H61" s="482"/>
      <c r="I61" s="536"/>
      <c r="J61" s="471"/>
    </row>
    <row r="62" spans="1:10" ht="12.75" hidden="1" customHeight="1" x14ac:dyDescent="0.25">
      <c r="A62" s="420"/>
      <c r="B62" s="446"/>
      <c r="C62" s="431" t="s">
        <v>984</v>
      </c>
      <c r="D62" s="415"/>
      <c r="E62" s="415"/>
      <c r="F62" s="411"/>
      <c r="G62" s="423"/>
      <c r="H62" s="482"/>
      <c r="I62" s="536"/>
      <c r="J62" s="471"/>
    </row>
    <row r="63" spans="1:10" ht="12.75" customHeight="1" x14ac:dyDescent="0.25">
      <c r="A63" s="420"/>
      <c r="B63" s="446"/>
      <c r="C63" s="431" t="s">
        <v>1177</v>
      </c>
      <c r="D63" s="415"/>
      <c r="E63" s="415"/>
      <c r="F63" s="411">
        <v>130000</v>
      </c>
      <c r="G63" s="423"/>
      <c r="H63" s="482"/>
      <c r="I63" s="536"/>
      <c r="J63" s="471"/>
    </row>
    <row r="64" spans="1:10" ht="12.75" customHeight="1" x14ac:dyDescent="0.25">
      <c r="A64" s="420"/>
      <c r="B64" s="446"/>
      <c r="C64" s="431" t="s">
        <v>1149</v>
      </c>
      <c r="D64" s="415"/>
      <c r="E64" s="415"/>
      <c r="F64" s="411">
        <v>10000</v>
      </c>
      <c r="G64" s="423"/>
      <c r="H64" s="482"/>
      <c r="I64" s="536"/>
      <c r="J64" s="471"/>
    </row>
    <row r="65" spans="1:13" ht="12.75" customHeight="1" x14ac:dyDescent="0.25">
      <c r="A65" s="420"/>
      <c r="B65" s="446"/>
      <c r="C65" s="431" t="s">
        <v>509</v>
      </c>
      <c r="D65" s="415"/>
      <c r="E65" s="415"/>
      <c r="F65" s="411">
        <v>10000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2.75" customHeight="1" x14ac:dyDescent="0.25">
      <c r="A70" s="420"/>
      <c r="B70" s="446"/>
      <c r="C70" s="431" t="s">
        <v>986</v>
      </c>
      <c r="D70" s="415"/>
      <c r="E70" s="415"/>
      <c r="F70" s="411">
        <v>40000</v>
      </c>
      <c r="G70" s="423"/>
      <c r="H70" s="482"/>
      <c r="I70" s="536"/>
      <c r="J70" s="471"/>
    </row>
    <row r="71" spans="1:13" ht="15" customHeight="1" x14ac:dyDescent="0.25">
      <c r="A71" s="420"/>
      <c r="B71" s="446"/>
      <c r="C71" s="431"/>
      <c r="D71" s="415"/>
      <c r="E71" s="415"/>
      <c r="F71" s="448">
        <f>SUM(F63:F70)</f>
        <v>190000</v>
      </c>
      <c r="G71" s="415">
        <f>IF(F71&gt;150000,150000,F71)</f>
        <v>150000</v>
      </c>
      <c r="H71" s="482"/>
      <c r="I71" s="536"/>
      <c r="J71" s="471"/>
    </row>
    <row r="72" spans="1:13" ht="15" customHeight="1" x14ac:dyDescent="0.25">
      <c r="A72" s="420"/>
      <c r="B72" s="446"/>
      <c r="C72" s="449" t="s">
        <v>1079</v>
      </c>
      <c r="D72" s="415"/>
      <c r="E72" s="415"/>
      <c r="F72" s="450"/>
      <c r="G72" s="411">
        <v>50000</v>
      </c>
      <c r="H72" s="482"/>
      <c r="I72" s="536"/>
      <c r="J72" s="471"/>
    </row>
    <row r="73" spans="1:13" ht="15" hidden="1" customHeight="1" x14ac:dyDescent="0.25">
      <c r="A73" s="420"/>
      <c r="B73" s="446"/>
      <c r="C73" s="449" t="s">
        <v>1078</v>
      </c>
      <c r="D73" s="415"/>
      <c r="E73" s="415"/>
      <c r="F73" s="450"/>
      <c r="G73" s="411"/>
      <c r="H73" s="482"/>
      <c r="I73" s="536"/>
      <c r="J73" s="471"/>
    </row>
    <row r="74" spans="1:13" ht="15" hidden="1" customHeight="1" x14ac:dyDescent="0.25">
      <c r="A74" s="420"/>
      <c r="B74" s="446"/>
      <c r="C74" s="449" t="s">
        <v>852</v>
      </c>
      <c r="D74" s="415"/>
      <c r="E74" s="415"/>
      <c r="F74" s="450"/>
      <c r="G74" s="411"/>
      <c r="H74" s="482"/>
      <c r="I74" s="536"/>
      <c r="J74" s="471"/>
    </row>
    <row r="75" spans="1:13" ht="15" hidden="1" customHeight="1" x14ac:dyDescent="0.25">
      <c r="A75" s="420"/>
      <c r="B75" s="446"/>
      <c r="C75" s="449" t="s">
        <v>611</v>
      </c>
      <c r="D75" s="415"/>
      <c r="E75" s="415"/>
      <c r="F75" s="415"/>
      <c r="G75" s="411"/>
      <c r="H75" s="482"/>
      <c r="I75" s="536"/>
      <c r="J75" s="471"/>
    </row>
    <row r="76" spans="1:13" ht="15" hidden="1" customHeight="1" x14ac:dyDescent="0.25">
      <c r="A76" s="420"/>
      <c r="B76" s="415"/>
      <c r="C76" s="676"/>
      <c r="D76" s="415"/>
      <c r="E76" s="428"/>
      <c r="F76" s="428"/>
      <c r="G76" s="447">
        <f>IF(G38&gt;10000, 10000, G38)</f>
        <v>0</v>
      </c>
      <c r="H76" s="482"/>
      <c r="I76" s="536"/>
      <c r="J76" s="471"/>
      <c r="L76" s="675"/>
    </row>
    <row r="77" spans="1:13" x14ac:dyDescent="0.25">
      <c r="A77" s="420"/>
      <c r="B77" s="415"/>
      <c r="C77" s="543" t="s">
        <v>853</v>
      </c>
      <c r="D77" s="415"/>
      <c r="E77" s="428"/>
      <c r="F77" s="428"/>
      <c r="G77" s="411"/>
      <c r="H77" s="482">
        <f>SUM(G71:G77)</f>
        <v>200000</v>
      </c>
      <c r="I77" s="537">
        <f>IF(H77&lt;&gt;0,0,"NIL")</f>
        <v>0</v>
      </c>
      <c r="J77" s="472"/>
    </row>
    <row r="78" spans="1:13" ht="15.75" customHeight="1" thickBot="1" x14ac:dyDescent="0.3">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x14ac:dyDescent="0.25">
      <c r="A79" s="420"/>
      <c r="B79" s="450" t="s">
        <v>778</v>
      </c>
      <c r="C79" s="415"/>
      <c r="D79" s="415"/>
      <c r="E79" s="444" t="s">
        <v>521</v>
      </c>
      <c r="F79" s="454" t="s">
        <v>522</v>
      </c>
      <c r="G79" s="444" t="s">
        <v>524</v>
      </c>
      <c r="H79" s="487"/>
      <c r="J79" s="471"/>
    </row>
    <row r="80" spans="1:13" ht="15" customHeight="1" x14ac:dyDescent="0.25">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x14ac:dyDescent="0.25">
      <c r="A81" s="420"/>
      <c r="B81" s="450"/>
      <c r="C81" s="408" t="s">
        <v>518</v>
      </c>
      <c r="D81" s="415"/>
      <c r="E81" s="410"/>
      <c r="F81" s="457">
        <v>0.15</v>
      </c>
      <c r="G81" s="523"/>
      <c r="H81" s="484"/>
      <c r="J81" s="471"/>
    </row>
    <row r="82" spans="1:10" ht="15" hidden="1" customHeight="1" x14ac:dyDescent="0.25">
      <c r="A82" s="420"/>
      <c r="B82" s="415"/>
      <c r="C82" s="408" t="s">
        <v>518</v>
      </c>
      <c r="D82" s="456"/>
      <c r="E82" s="428"/>
      <c r="F82" s="415"/>
      <c r="G82" s="526">
        <f>G80+G81</f>
        <v>1374833</v>
      </c>
      <c r="H82" s="488"/>
      <c r="I82" s="537"/>
      <c r="J82" s="472"/>
    </row>
    <row r="83" spans="1:10" ht="15" customHeight="1" x14ac:dyDescent="0.25">
      <c r="A83" s="420"/>
      <c r="B83" s="415"/>
      <c r="C83" s="408" t="s">
        <v>519</v>
      </c>
      <c r="D83" s="456"/>
      <c r="E83" s="684">
        <f>+H36</f>
        <v>7516507</v>
      </c>
      <c r="F83" s="678">
        <v>0.2</v>
      </c>
      <c r="G83" s="526">
        <f>ROUND(E83*F83,0)</f>
        <v>1503301</v>
      </c>
      <c r="H83" s="488"/>
      <c r="I83" s="537"/>
      <c r="J83" s="472"/>
    </row>
    <row r="84" spans="1:10" ht="15" customHeight="1" x14ac:dyDescent="0.25">
      <c r="A84" s="420"/>
      <c r="C84" s="524" t="s">
        <v>1015</v>
      </c>
      <c r="D84" s="456"/>
      <c r="E84" s="428"/>
      <c r="F84" s="415"/>
      <c r="G84" s="527">
        <f>IF(H78&gt;500000,0,IF(G82&gt;2000,2000,G82))</f>
        <v>0</v>
      </c>
      <c r="H84" s="696">
        <f>G82+G83</f>
        <v>2878134</v>
      </c>
      <c r="I84" s="537">
        <f>IF(H84&lt;&gt;0,0,"NIL")</f>
        <v>0</v>
      </c>
      <c r="J84" s="472"/>
    </row>
    <row r="85" spans="1:10" ht="15" customHeight="1" x14ac:dyDescent="0.25">
      <c r="A85" s="420"/>
      <c r="B85" s="416" t="s">
        <v>1243</v>
      </c>
      <c r="C85" s="524"/>
      <c r="D85" s="456"/>
      <c r="E85" s="428"/>
      <c r="F85" s="415"/>
      <c r="G85" s="526"/>
      <c r="H85" s="489">
        <f>+H84</f>
        <v>2878134</v>
      </c>
      <c r="I85" s="537"/>
      <c r="J85" s="472"/>
    </row>
    <row r="86" spans="1:10" ht="15" customHeight="1" x14ac:dyDescent="0.25">
      <c r="A86" s="420"/>
      <c r="B86" s="697" t="s">
        <v>1202</v>
      </c>
      <c r="C86" s="428"/>
      <c r="D86" s="428"/>
      <c r="E86" s="428"/>
      <c r="F86" s="428"/>
      <c r="G86" s="526"/>
      <c r="H86" s="696">
        <f>ROUND(H85*0.12,0)</f>
        <v>345376</v>
      </c>
      <c r="I86" s="537"/>
      <c r="J86" s="472"/>
    </row>
    <row r="87" spans="1:10" ht="15" customHeight="1" x14ac:dyDescent="0.25">
      <c r="A87" s="420"/>
      <c r="B87" s="415"/>
      <c r="C87" s="428"/>
      <c r="D87" s="428"/>
      <c r="E87" s="428"/>
      <c r="F87" s="428"/>
      <c r="G87" s="526"/>
      <c r="H87" s="489">
        <f>H85+H86</f>
        <v>3223510</v>
      </c>
      <c r="I87" s="537"/>
      <c r="J87" s="472"/>
    </row>
    <row r="88" spans="1:10" ht="15" customHeight="1" x14ac:dyDescent="0.25">
      <c r="A88" s="420"/>
      <c r="B88" s="697" t="s">
        <v>1245</v>
      </c>
      <c r="C88" s="415"/>
      <c r="D88" s="456"/>
      <c r="E88" s="428"/>
      <c r="F88" s="415"/>
      <c r="G88" s="428"/>
      <c r="H88" s="489">
        <f>ROUND((H87)*0.02,0)</f>
        <v>64470</v>
      </c>
      <c r="I88" s="537">
        <f>IF(H88&lt;&gt;0,0,"NIL")</f>
        <v>0</v>
      </c>
      <c r="J88" s="472"/>
    </row>
    <row r="89" spans="1:10" ht="15" customHeight="1" x14ac:dyDescent="0.25">
      <c r="A89" s="420"/>
      <c r="B89" s="697" t="s">
        <v>1246</v>
      </c>
      <c r="C89" s="415"/>
      <c r="D89" s="456"/>
      <c r="E89" s="458"/>
      <c r="F89" s="415"/>
      <c r="G89" s="428"/>
      <c r="H89" s="528">
        <f>ROUND((H87)*0.01,0)</f>
        <v>32235</v>
      </c>
      <c r="I89" s="540">
        <f>IF(H89&lt;&gt;0,0,"NIL")</f>
        <v>0</v>
      </c>
      <c r="J89" s="474"/>
    </row>
    <row r="90" spans="1:10" ht="15" customHeight="1" x14ac:dyDescent="0.25">
      <c r="A90" s="420"/>
      <c r="B90" s="450" t="s">
        <v>1244</v>
      </c>
      <c r="C90" s="415"/>
      <c r="D90" s="456"/>
      <c r="E90" s="458"/>
      <c r="F90" s="415"/>
      <c r="G90" s="428"/>
      <c r="H90" s="488">
        <f>SUM(H87:H89)</f>
        <v>3320215</v>
      </c>
      <c r="I90" s="537"/>
      <c r="J90" s="472"/>
    </row>
    <row r="91" spans="1:10" ht="15" hidden="1" customHeight="1" x14ac:dyDescent="0.25">
      <c r="A91" s="420"/>
      <c r="B91" s="427"/>
      <c r="C91" s="428"/>
      <c r="D91" s="428"/>
      <c r="E91" s="428"/>
      <c r="F91" s="428"/>
      <c r="G91" s="428"/>
      <c r="H91" s="528"/>
      <c r="I91" s="540"/>
      <c r="J91" s="473"/>
    </row>
    <row r="92" spans="1:10" ht="15" hidden="1" customHeight="1" x14ac:dyDescent="0.25">
      <c r="A92" s="420"/>
      <c r="B92" s="450"/>
      <c r="C92" s="428"/>
      <c r="D92" s="428"/>
      <c r="E92" s="428"/>
      <c r="F92" s="428"/>
      <c r="G92" s="428"/>
      <c r="H92" s="491">
        <f>H90+H91</f>
        <v>3320215</v>
      </c>
      <c r="I92" s="537"/>
      <c r="J92" s="472"/>
    </row>
    <row r="93" spans="1:10" ht="15" customHeight="1" x14ac:dyDescent="0.25">
      <c r="A93" s="420"/>
      <c r="B93" s="421" t="s">
        <v>571</v>
      </c>
      <c r="C93" s="428"/>
      <c r="D93" s="428"/>
      <c r="E93" s="428"/>
      <c r="F93" s="428"/>
      <c r="G93" s="428"/>
      <c r="H93" s="490"/>
      <c r="I93" s="537"/>
      <c r="J93" s="471"/>
    </row>
    <row r="94" spans="1:10" ht="15" customHeight="1" x14ac:dyDescent="0.3">
      <c r="A94" s="420"/>
      <c r="B94" s="667">
        <v>42272</v>
      </c>
      <c r="C94" s="1340" t="s">
        <v>993</v>
      </c>
      <c r="D94" s="1340"/>
      <c r="E94" s="1340"/>
      <c r="F94" s="1340"/>
      <c r="G94" s="447">
        <v>78000</v>
      </c>
      <c r="H94" s="482"/>
      <c r="I94" s="536"/>
      <c r="J94" s="472"/>
    </row>
    <row r="95" spans="1:10" ht="15" customHeight="1" x14ac:dyDescent="0.3">
      <c r="A95" s="420"/>
      <c r="B95" s="588"/>
      <c r="C95" s="1340" t="s">
        <v>1180</v>
      </c>
      <c r="D95" s="1340"/>
      <c r="E95" s="1340"/>
      <c r="F95" s="1340"/>
      <c r="G95" s="410">
        <v>900000</v>
      </c>
      <c r="H95" s="482"/>
      <c r="I95" s="536"/>
      <c r="J95" s="472"/>
    </row>
    <row r="96" spans="1:10" ht="12.75" customHeight="1" x14ac:dyDescent="0.3">
      <c r="A96" s="420"/>
      <c r="B96" s="459"/>
      <c r="C96" s="1340" t="s">
        <v>1236</v>
      </c>
      <c r="D96" s="1340"/>
      <c r="E96" s="1340"/>
      <c r="F96" s="1340"/>
      <c r="G96" s="410">
        <v>100000</v>
      </c>
      <c r="H96" s="482"/>
      <c r="I96" s="536"/>
      <c r="J96" s="472"/>
    </row>
    <row r="97" spans="1:11" ht="12.75" customHeight="1" x14ac:dyDescent="0.3">
      <c r="A97" s="420"/>
      <c r="B97" s="459"/>
      <c r="C97" s="1340" t="s">
        <v>1237</v>
      </c>
      <c r="D97" s="1340"/>
      <c r="E97" s="1340"/>
      <c r="F97" s="1340"/>
      <c r="G97" s="410">
        <v>20000</v>
      </c>
      <c r="H97" s="482"/>
      <c r="I97" s="536"/>
      <c r="J97" s="472"/>
    </row>
    <row r="98" spans="1:11" ht="12.75" customHeight="1" thickBot="1" x14ac:dyDescent="0.35">
      <c r="A98" s="414"/>
      <c r="B98" s="667">
        <v>42529</v>
      </c>
      <c r="C98" s="1342" t="s">
        <v>1192</v>
      </c>
      <c r="D98" s="1342"/>
      <c r="E98" s="1342"/>
      <c r="F98" s="1342"/>
      <c r="G98" s="481">
        <v>210000</v>
      </c>
      <c r="H98" s="493">
        <f>SUM(G94:G98)</f>
        <v>1308000</v>
      </c>
      <c r="I98" s="541">
        <f>IF(H98&lt;&gt;0,0,"NIL")</f>
        <v>0</v>
      </c>
      <c r="J98" s="478"/>
    </row>
    <row r="99" spans="1:11" ht="18" customHeight="1" thickBot="1" x14ac:dyDescent="0.3">
      <c r="A99" s="494"/>
      <c r="B99" s="495" t="str">
        <f>IF(H99=0,"TAX  PAYABLE / REFUND ",IF(H99&lt;0,"REFUND","TAX  PAYABLE"))</f>
        <v>TAX  PAYABLE</v>
      </c>
      <c r="C99" s="496"/>
      <c r="D99" s="496"/>
      <c r="E99" s="497"/>
      <c r="F99" s="498" t="s">
        <v>776</v>
      </c>
      <c r="G99" s="497"/>
      <c r="H99" s="499">
        <f>H90-H98</f>
        <v>2012215</v>
      </c>
      <c r="I99" s="542">
        <f>IF(H99&lt;&gt;0,0,"NIL")</f>
        <v>0</v>
      </c>
      <c r="J99" s="500"/>
    </row>
    <row r="100" spans="1:11" x14ac:dyDescent="0.25">
      <c r="A100" s="567"/>
      <c r="B100" s="570"/>
      <c r="C100" s="570"/>
      <c r="D100" s="570"/>
      <c r="E100" s="570"/>
      <c r="F100" s="570"/>
      <c r="G100" s="570"/>
      <c r="H100" s="570"/>
      <c r="I100" s="568"/>
      <c r="J100" s="569"/>
      <c r="K100" s="554"/>
    </row>
    <row r="101" spans="1:11" x14ac:dyDescent="0.25">
      <c r="A101" s="567"/>
      <c r="B101" s="554"/>
      <c r="C101" s="554"/>
      <c r="D101" s="554"/>
      <c r="E101" s="554"/>
      <c r="F101" s="554"/>
      <c r="G101" s="554"/>
      <c r="H101" s="554"/>
      <c r="I101" s="568"/>
      <c r="J101" s="569"/>
      <c r="K101" s="554"/>
    </row>
    <row r="102" spans="1:11" x14ac:dyDescent="0.25">
      <c r="A102" s="567"/>
      <c r="B102" s="554"/>
      <c r="C102" s="554"/>
      <c r="D102" s="554"/>
      <c r="E102" s="554"/>
      <c r="F102" s="554"/>
      <c r="G102" s="554"/>
      <c r="H102" s="554"/>
      <c r="I102" s="568"/>
      <c r="J102" s="569"/>
      <c r="K102" s="554"/>
    </row>
    <row r="103" spans="1:11" x14ac:dyDescent="0.25">
      <c r="A103" s="567"/>
      <c r="B103" s="554"/>
      <c r="C103" s="554"/>
      <c r="D103" s="554"/>
      <c r="E103" s="554"/>
      <c r="F103" s="554"/>
      <c r="G103" s="554"/>
      <c r="H103" s="554"/>
      <c r="I103" s="568"/>
      <c r="J103" s="569"/>
      <c r="K103" s="554"/>
    </row>
    <row r="104" spans="1:11" x14ac:dyDescent="0.25">
      <c r="A104" s="567"/>
      <c r="B104" s="554"/>
      <c r="C104" s="554"/>
      <c r="D104" s="554"/>
      <c r="E104" s="554"/>
      <c r="F104" s="554"/>
      <c r="G104" s="554"/>
      <c r="H104" s="554"/>
      <c r="I104" s="568"/>
      <c r="J104" s="569"/>
      <c r="K104" s="554"/>
    </row>
    <row r="105" spans="1:11" x14ac:dyDescent="0.25">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xr:uid="{00000000-0002-0000-0A00-000000000000}">
      <formula1>"ICICI PRUDENTIAL PREM, BAJAJ ALLIANZ LIFE INSURANCE PREM., LIC  PREMIUM, ULIP PREMIUM"</formula1>
    </dataValidation>
    <dataValidation type="list" errorStyle="information" allowBlank="1" showInputMessage="1" showErrorMessage="1" sqref="D4:D7" xr:uid="{00000000-0002-0000-0A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01"/>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1800000</v>
      </c>
      <c r="H4" s="482"/>
      <c r="I4" s="536"/>
      <c r="J4" s="471"/>
    </row>
    <row r="5" spans="1:10" ht="15" customHeight="1" x14ac:dyDescent="0.25">
      <c r="A5" s="420"/>
      <c r="B5" s="421"/>
      <c r="C5" s="408" t="s">
        <v>1203</v>
      </c>
      <c r="D5" s="422"/>
      <c r="E5" s="415"/>
      <c r="F5" s="423"/>
      <c r="G5" s="411">
        <v>600000</v>
      </c>
      <c r="H5" s="482"/>
      <c r="I5" s="536"/>
      <c r="J5" s="471"/>
    </row>
    <row r="6" spans="1:10" ht="15" customHeight="1" x14ac:dyDescent="0.25">
      <c r="A6" s="420"/>
      <c r="B6" s="421"/>
      <c r="C6" s="408" t="s">
        <v>1204</v>
      </c>
      <c r="D6" s="422"/>
      <c r="E6" s="415"/>
      <c r="F6" s="423"/>
      <c r="G6" s="411">
        <v>361350</v>
      </c>
      <c r="H6" s="482"/>
      <c r="I6" s="536"/>
      <c r="J6" s="471"/>
    </row>
    <row r="7" spans="1:10" ht="15" customHeight="1" x14ac:dyDescent="0.25">
      <c r="A7" s="420"/>
      <c r="B7" s="415"/>
      <c r="C7" s="422" t="s">
        <v>1205</v>
      </c>
      <c r="D7" s="415"/>
      <c r="E7" s="415"/>
      <c r="F7" s="415"/>
      <c r="G7" s="425">
        <v>9000</v>
      </c>
      <c r="H7" s="482">
        <f>SUM(G4:G7)</f>
        <v>2770350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583" t="s">
        <v>1127</v>
      </c>
      <c r="D9" s="422"/>
      <c r="E9" s="672"/>
      <c r="F9" s="679"/>
      <c r="G9" s="411"/>
      <c r="H9" s="482"/>
      <c r="I9" s="537"/>
      <c r="J9" s="472"/>
    </row>
    <row r="10" spans="1:10" ht="15" customHeight="1" x14ac:dyDescent="0.25">
      <c r="A10" s="420"/>
      <c r="B10" s="426"/>
      <c r="C10" s="408" t="s">
        <v>769</v>
      </c>
      <c r="D10" s="415"/>
      <c r="E10" s="408"/>
      <c r="F10" s="415"/>
      <c r="G10" s="479"/>
      <c r="H10" s="482"/>
      <c r="I10" s="537"/>
      <c r="J10" s="472"/>
    </row>
    <row r="11" spans="1:10" ht="15" customHeight="1" x14ac:dyDescent="0.25">
      <c r="A11" s="420"/>
      <c r="B11" s="426"/>
      <c r="C11" s="408"/>
      <c r="D11" s="415"/>
      <c r="E11" s="408"/>
      <c r="F11" s="415"/>
      <c r="G11" s="423">
        <f>IF((G9-G10)&lt;0,0,(G9-G10))</f>
        <v>0</v>
      </c>
      <c r="H11" s="482"/>
      <c r="I11" s="537"/>
      <c r="J11" s="472"/>
    </row>
    <row r="12" spans="1:10" ht="15" customHeight="1" x14ac:dyDescent="0.25">
      <c r="A12" s="420"/>
      <c r="B12" s="426"/>
      <c r="C12" s="590" t="s">
        <v>514</v>
      </c>
      <c r="D12" s="415"/>
      <c r="E12" s="408" t="s">
        <v>1093</v>
      </c>
      <c r="F12" s="415">
        <f>G11*0.3</f>
        <v>0</v>
      </c>
      <c r="G12" s="423"/>
      <c r="H12" s="482"/>
      <c r="I12" s="537"/>
      <c r="J12" s="472"/>
    </row>
    <row r="13" spans="1:10" ht="15" customHeight="1" x14ac:dyDescent="0.3">
      <c r="A13" s="420"/>
      <c r="B13" s="426"/>
      <c r="D13" s="415"/>
      <c r="E13" s="434" t="s">
        <v>1094</v>
      </c>
      <c r="F13" s="415">
        <f t="shared" ref="F13:F22" si="0">G12*0.3</f>
        <v>0</v>
      </c>
      <c r="G13" s="592">
        <f>F12+F13</f>
        <v>0</v>
      </c>
      <c r="H13" s="482"/>
      <c r="I13" s="537"/>
      <c r="J13" s="472"/>
    </row>
    <row r="14" spans="1:10" ht="15" hidden="1" customHeight="1" thickTop="1" x14ac:dyDescent="0.25">
      <c r="A14" s="420"/>
      <c r="B14" s="415"/>
      <c r="C14" s="583" t="s">
        <v>1164</v>
      </c>
      <c r="D14" s="422"/>
      <c r="E14" s="663" t="s">
        <v>1185</v>
      </c>
      <c r="F14" s="415">
        <f t="shared" si="0"/>
        <v>0</v>
      </c>
      <c r="G14" s="411"/>
      <c r="H14" s="482"/>
      <c r="I14" s="537"/>
      <c r="J14" s="472"/>
    </row>
    <row r="15" spans="1:10" ht="15" hidden="1" customHeight="1" x14ac:dyDescent="0.25">
      <c r="A15" s="420"/>
      <c r="B15" s="415"/>
      <c r="C15" s="408" t="s">
        <v>769</v>
      </c>
      <c r="D15" s="415"/>
      <c r="E15" s="408"/>
      <c r="F15" s="415">
        <f t="shared" si="0"/>
        <v>0</v>
      </c>
      <c r="G15" s="479"/>
      <c r="H15" s="482"/>
      <c r="I15" s="537"/>
      <c r="J15" s="472"/>
    </row>
    <row r="16" spans="1:10" ht="15" hidden="1" customHeight="1" x14ac:dyDescent="0.25">
      <c r="A16" s="420"/>
      <c r="B16" s="415"/>
      <c r="C16" s="408"/>
      <c r="D16" s="415"/>
      <c r="E16" s="408"/>
      <c r="F16" s="415">
        <f t="shared" si="0"/>
        <v>0</v>
      </c>
      <c r="G16" s="423">
        <f>IF((G14-G15)&lt;0,0,(G14-G15))</f>
        <v>0</v>
      </c>
      <c r="H16" s="482"/>
      <c r="I16" s="537"/>
      <c r="J16" s="472"/>
    </row>
    <row r="17" spans="1:13" ht="15" hidden="1" customHeight="1" x14ac:dyDescent="0.25">
      <c r="A17" s="420"/>
      <c r="B17" s="415"/>
      <c r="C17" s="590" t="s">
        <v>514</v>
      </c>
      <c r="D17" s="415"/>
      <c r="E17" s="408" t="s">
        <v>1093</v>
      </c>
      <c r="F17" s="415">
        <f t="shared" si="0"/>
        <v>0</v>
      </c>
      <c r="G17" s="423"/>
      <c r="H17" s="482"/>
      <c r="I17" s="537"/>
      <c r="J17" s="472"/>
    </row>
    <row r="18" spans="1:13" ht="15" hidden="1" customHeight="1" x14ac:dyDescent="0.3">
      <c r="A18" s="420"/>
      <c r="B18" s="415"/>
      <c r="C18" s="590"/>
      <c r="D18" s="415"/>
      <c r="E18" s="434" t="s">
        <v>1094</v>
      </c>
      <c r="F18" s="415">
        <f t="shared" si="0"/>
        <v>0</v>
      </c>
      <c r="G18" s="592"/>
      <c r="H18" s="482"/>
      <c r="I18" s="537"/>
      <c r="J18" s="472"/>
    </row>
    <row r="19" spans="1:13" ht="15" hidden="1" customHeight="1" thickBot="1" x14ac:dyDescent="0.3">
      <c r="A19" s="420"/>
      <c r="B19" s="415"/>
      <c r="D19" s="415"/>
      <c r="F19" s="415">
        <f t="shared" si="0"/>
        <v>0</v>
      </c>
      <c r="G19" s="674">
        <f>0-G18</f>
        <v>0</v>
      </c>
      <c r="I19" s="537" t="e">
        <f>IF(#REF!&lt;&gt;0,0,"NIL")</f>
        <v>#REF!</v>
      </c>
      <c r="J19" s="472"/>
    </row>
    <row r="20" spans="1:13" ht="15" hidden="1" customHeight="1" x14ac:dyDescent="0.25">
      <c r="A20" s="420"/>
      <c r="B20" s="421" t="s">
        <v>996</v>
      </c>
      <c r="C20" s="408"/>
      <c r="D20" s="415"/>
      <c r="E20" s="429"/>
      <c r="F20" s="415">
        <f t="shared" si="0"/>
        <v>0</v>
      </c>
      <c r="G20" s="415"/>
      <c r="H20" s="482"/>
      <c r="I20" s="537"/>
      <c r="J20" s="472"/>
    </row>
    <row r="21" spans="1:13" ht="15" hidden="1" customHeight="1" x14ac:dyDescent="0.25">
      <c r="A21" s="420"/>
      <c r="B21" s="415"/>
      <c r="C21" s="408" t="s">
        <v>991</v>
      </c>
      <c r="D21" s="415"/>
      <c r="E21" s="429"/>
      <c r="F21" s="415">
        <f t="shared" si="0"/>
        <v>0</v>
      </c>
      <c r="G21" s="411"/>
      <c r="H21" s="482"/>
      <c r="I21" s="537"/>
      <c r="J21" s="472"/>
    </row>
    <row r="22" spans="1:13" ht="15" hidden="1" customHeight="1" x14ac:dyDescent="0.25">
      <c r="A22" s="420"/>
      <c r="B22" s="415"/>
      <c r="C22" s="408" t="s">
        <v>992</v>
      </c>
      <c r="D22" s="415"/>
      <c r="E22" s="429"/>
      <c r="F22" s="415">
        <f t="shared" si="0"/>
        <v>0</v>
      </c>
      <c r="G22" s="479"/>
      <c r="H22" s="483">
        <f>G21-G22</f>
        <v>0</v>
      </c>
      <c r="I22" s="537" t="str">
        <f>IF(H22&lt;&gt;0,0,"NIL")</f>
        <v>NIL</v>
      </c>
      <c r="J22" s="472"/>
    </row>
    <row r="23" spans="1:13" ht="15" customHeight="1" x14ac:dyDescent="0.25">
      <c r="A23" s="420"/>
      <c r="B23" s="421" t="s">
        <v>997</v>
      </c>
      <c r="C23" s="415"/>
      <c r="D23" s="415"/>
      <c r="E23" s="415"/>
      <c r="F23" s="415"/>
      <c r="G23" s="415"/>
      <c r="H23" s="482"/>
      <c r="I23" s="537"/>
      <c r="J23" s="472"/>
    </row>
    <row r="24" spans="1:13" x14ac:dyDescent="0.25">
      <c r="A24" s="420"/>
      <c r="B24" s="415"/>
      <c r="C24" s="590" t="s">
        <v>498</v>
      </c>
      <c r="D24" s="415"/>
      <c r="E24" s="415"/>
      <c r="F24" s="415"/>
      <c r="G24" s="415"/>
      <c r="H24" s="482"/>
      <c r="I24" s="537"/>
      <c r="J24" s="472"/>
    </row>
    <row r="25" spans="1:13" x14ac:dyDescent="0.25">
      <c r="A25" s="420"/>
      <c r="B25" s="415"/>
      <c r="C25" s="672" t="s">
        <v>1210</v>
      </c>
      <c r="D25" s="682" t="s">
        <v>1211</v>
      </c>
      <c r="E25" s="408">
        <f>1000500-500</f>
        <v>1000000</v>
      </c>
      <c r="F25" s="408"/>
      <c r="G25" s="408"/>
      <c r="H25" s="482"/>
      <c r="I25" s="537"/>
      <c r="J25" s="472"/>
    </row>
    <row r="26" spans="1:13" x14ac:dyDescent="0.25">
      <c r="A26" s="420"/>
      <c r="B26" s="415"/>
      <c r="C26" s="408"/>
      <c r="D26" s="408" t="s">
        <v>1197</v>
      </c>
      <c r="E26" s="683">
        <v>800000</v>
      </c>
      <c r="F26" s="408">
        <f>E25-E26</f>
        <v>200000</v>
      </c>
      <c r="G26" s="408"/>
      <c r="H26" s="482"/>
      <c r="I26" s="537"/>
      <c r="J26" s="472"/>
    </row>
    <row r="27" spans="1:13" x14ac:dyDescent="0.25">
      <c r="A27" s="420"/>
      <c r="B27" s="688">
        <v>0.15</v>
      </c>
      <c r="C27" s="672" t="s">
        <v>1212</v>
      </c>
      <c r="D27" s="682" t="s">
        <v>1211</v>
      </c>
      <c r="E27" s="408">
        <v>1470000</v>
      </c>
      <c r="F27" s="408"/>
      <c r="G27" s="408"/>
      <c r="H27" s="482"/>
      <c r="I27" s="537"/>
      <c r="J27" s="472"/>
    </row>
    <row r="28" spans="1:13" x14ac:dyDescent="0.25">
      <c r="A28" s="420"/>
      <c r="B28" s="415"/>
      <c r="C28" s="408"/>
      <c r="D28" s="408" t="s">
        <v>1197</v>
      </c>
      <c r="E28" s="683">
        <v>1215000</v>
      </c>
      <c r="F28" s="408">
        <f>E27-E28</f>
        <v>255000</v>
      </c>
      <c r="G28" s="687">
        <f>F26+F28</f>
        <v>455000</v>
      </c>
      <c r="H28" s="482"/>
      <c r="I28" s="537"/>
      <c r="J28" s="472"/>
    </row>
    <row r="29" spans="1:13" x14ac:dyDescent="0.25">
      <c r="A29" s="420"/>
      <c r="B29" s="415"/>
      <c r="C29" s="680" t="s">
        <v>77</v>
      </c>
      <c r="D29" s="415"/>
      <c r="E29" s="415"/>
      <c r="F29" s="415"/>
      <c r="G29" s="415"/>
      <c r="H29" s="482"/>
      <c r="I29" s="537"/>
      <c r="J29" s="472"/>
    </row>
    <row r="30" spans="1:13" x14ac:dyDescent="0.25">
      <c r="A30" s="420"/>
      <c r="B30" s="415"/>
      <c r="D30" s="672" t="s">
        <v>1213</v>
      </c>
      <c r="E30" s="682" t="s">
        <v>1211</v>
      </c>
      <c r="F30" s="408">
        <v>8000000</v>
      </c>
      <c r="G30" s="686"/>
      <c r="H30" s="482"/>
      <c r="I30" s="537"/>
      <c r="J30" s="472"/>
      <c r="M30" s="686"/>
    </row>
    <row r="31" spans="1:13" x14ac:dyDescent="0.25">
      <c r="A31" s="420"/>
      <c r="B31" s="415"/>
      <c r="C31" s="408"/>
      <c r="E31" s="408" t="s">
        <v>1197</v>
      </c>
      <c r="F31" s="683">
        <f>ROUND(650000*1081/632,0)</f>
        <v>1111788</v>
      </c>
      <c r="G31" s="408"/>
      <c r="H31" s="482"/>
      <c r="I31" s="537"/>
      <c r="J31" s="472"/>
    </row>
    <row r="32" spans="1:13" x14ac:dyDescent="0.25">
      <c r="A32" s="420"/>
      <c r="B32" s="688">
        <v>0.2</v>
      </c>
      <c r="C32" s="408"/>
      <c r="D32" s="408"/>
      <c r="E32" s="408" t="s">
        <v>1217</v>
      </c>
      <c r="F32" s="408"/>
      <c r="G32" s="687">
        <f>F30-F31</f>
        <v>6888212</v>
      </c>
      <c r="H32" s="482"/>
      <c r="I32" s="537"/>
      <c r="J32" s="472"/>
    </row>
    <row r="33" spans="1:10" x14ac:dyDescent="0.25">
      <c r="A33" s="420"/>
      <c r="B33" s="415"/>
      <c r="D33" s="672" t="s">
        <v>1212</v>
      </c>
      <c r="E33" s="408"/>
      <c r="F33" s="653" t="s">
        <v>1214</v>
      </c>
      <c r="G33" s="408"/>
      <c r="H33" s="482">
        <f>G28+G32</f>
        <v>7343212</v>
      </c>
      <c r="I33" s="537"/>
      <c r="J33" s="472"/>
    </row>
    <row r="34" spans="1:10" ht="20.100000000000001" customHeight="1" x14ac:dyDescent="0.25">
      <c r="A34" s="420"/>
      <c r="B34" s="421" t="s">
        <v>998</v>
      </c>
      <c r="C34" s="415"/>
      <c r="D34" s="415"/>
      <c r="E34" s="415"/>
      <c r="F34" s="415"/>
      <c r="G34" s="415"/>
      <c r="H34" s="482"/>
      <c r="I34" s="536"/>
      <c r="J34" s="471"/>
    </row>
    <row r="35" spans="1:10" x14ac:dyDescent="0.25">
      <c r="A35" s="420"/>
      <c r="B35" s="636"/>
      <c r="C35" s="431"/>
      <c r="D35" s="431"/>
      <c r="E35" s="431"/>
      <c r="F35" s="415"/>
      <c r="G35" s="415"/>
      <c r="H35" s="482"/>
      <c r="I35" s="536"/>
      <c r="J35" s="471"/>
    </row>
    <row r="36" spans="1:10" x14ac:dyDescent="0.25">
      <c r="A36" s="420"/>
      <c r="B36" s="636"/>
      <c r="C36" s="431" t="s">
        <v>1207</v>
      </c>
      <c r="D36" s="431" t="s">
        <v>1206</v>
      </c>
      <c r="F36" s="408">
        <v>100000</v>
      </c>
      <c r="G36" s="411"/>
      <c r="H36" s="482"/>
      <c r="I36" s="536"/>
      <c r="J36" s="471"/>
    </row>
    <row r="37" spans="1:10" x14ac:dyDescent="0.25">
      <c r="A37" s="420"/>
      <c r="B37" s="636"/>
      <c r="C37" s="431" t="s">
        <v>1207</v>
      </c>
      <c r="D37" s="431" t="s">
        <v>1208</v>
      </c>
      <c r="F37" s="408">
        <v>10000</v>
      </c>
      <c r="G37" s="411"/>
      <c r="H37" s="482"/>
      <c r="I37" s="536"/>
      <c r="J37" s="471"/>
    </row>
    <row r="38" spans="1:10" x14ac:dyDescent="0.25">
      <c r="A38" s="420"/>
      <c r="B38" s="636"/>
      <c r="C38" s="431" t="s">
        <v>1207</v>
      </c>
      <c r="D38" s="431" t="s">
        <v>1218</v>
      </c>
      <c r="F38" s="683">
        <f>11000-1500</f>
        <v>9500</v>
      </c>
      <c r="G38" s="411">
        <f>F36+F37+F38</f>
        <v>119500</v>
      </c>
      <c r="H38" s="482"/>
      <c r="I38" s="536"/>
      <c r="J38" s="471"/>
    </row>
    <row r="39" spans="1:10" x14ac:dyDescent="0.25">
      <c r="A39" s="420"/>
      <c r="B39" s="589"/>
      <c r="C39" s="431" t="s">
        <v>1209</v>
      </c>
      <c r="G39" s="462">
        <v>14800</v>
      </c>
      <c r="H39" s="482"/>
      <c r="I39" s="536"/>
      <c r="J39" s="471"/>
    </row>
    <row r="40" spans="1:10" ht="15" customHeight="1" x14ac:dyDescent="0.3">
      <c r="A40" s="420"/>
      <c r="B40" s="589"/>
      <c r="C40" s="431"/>
      <c r="D40" s="434"/>
      <c r="E40" s="433"/>
      <c r="F40" s="433"/>
      <c r="G40" s="480">
        <f>SUM(G35:G39)</f>
        <v>134300</v>
      </c>
      <c r="H40" s="482"/>
      <c r="I40" s="536"/>
      <c r="J40" s="471"/>
    </row>
    <row r="41" spans="1:10" ht="15" hidden="1" customHeight="1" x14ac:dyDescent="0.25">
      <c r="A41" s="420"/>
      <c r="B41" s="589"/>
      <c r="C41" s="435" t="s">
        <v>512</v>
      </c>
      <c r="D41" s="436"/>
      <c r="E41" s="436"/>
      <c r="F41" s="436"/>
      <c r="G41" s="437"/>
      <c r="H41" s="482"/>
      <c r="I41" s="536"/>
      <c r="J41" s="471"/>
    </row>
    <row r="42" spans="1:10" ht="15" hidden="1" customHeight="1" x14ac:dyDescent="0.25">
      <c r="A42" s="420"/>
      <c r="B42" s="589"/>
      <c r="G42" s="410"/>
      <c r="H42" s="482"/>
      <c r="I42" s="536"/>
      <c r="J42" s="471"/>
    </row>
    <row r="43" spans="1:10" ht="15" hidden="1" customHeight="1" x14ac:dyDescent="0.25">
      <c r="A43" s="420"/>
      <c r="B43" s="589"/>
      <c r="G43" s="410"/>
      <c r="H43" s="482"/>
      <c r="I43" s="536"/>
      <c r="J43" s="471"/>
    </row>
    <row r="44" spans="1:10" ht="15" hidden="1" customHeight="1" x14ac:dyDescent="0.25">
      <c r="A44" s="420"/>
      <c r="B44" s="589"/>
      <c r="C44" s="436" t="s">
        <v>846</v>
      </c>
      <c r="D44" s="436"/>
      <c r="E44" s="415"/>
      <c r="F44" s="438"/>
      <c r="G44" s="437"/>
      <c r="H44" s="482"/>
      <c r="I44" s="536"/>
      <c r="J44" s="471"/>
    </row>
    <row r="45" spans="1:10" ht="15" hidden="1" customHeight="1" x14ac:dyDescent="0.25">
      <c r="A45" s="420"/>
      <c r="B45" s="589"/>
      <c r="C45" s="432" t="s">
        <v>847</v>
      </c>
      <c r="D45" s="415"/>
      <c r="E45" s="415"/>
      <c r="F45" s="461">
        <f>ROUND(IF(F44/3&gt;15000,15000,F44/3),0)</f>
        <v>0</v>
      </c>
      <c r="G45" s="447">
        <f>F44-F45</f>
        <v>0</v>
      </c>
      <c r="H45" s="482"/>
      <c r="I45" s="536"/>
      <c r="J45" s="471"/>
    </row>
    <row r="46" spans="1:10" ht="15" hidden="1" customHeight="1" x14ac:dyDescent="0.25">
      <c r="A46" s="420"/>
      <c r="B46" s="589"/>
      <c r="C46" s="415"/>
      <c r="D46" s="415"/>
      <c r="E46" s="415"/>
      <c r="F46" s="415"/>
      <c r="G46" s="480">
        <f>SUM(G42:G45)</f>
        <v>0</v>
      </c>
      <c r="H46" s="484"/>
      <c r="J46" s="472"/>
    </row>
    <row r="47" spans="1:10" ht="15" customHeight="1" x14ac:dyDescent="0.25">
      <c r="A47" s="420"/>
      <c r="B47" s="589"/>
      <c r="C47" s="415"/>
      <c r="D47" s="415"/>
      <c r="E47" s="415"/>
      <c r="F47" s="415"/>
      <c r="G47" s="437"/>
      <c r="H47" s="482">
        <f>+G40</f>
        <v>134300</v>
      </c>
      <c r="I47" s="537">
        <f>IF(H47&lt;&gt;0,0,"NIL")</f>
        <v>0</v>
      </c>
      <c r="J47" s="472"/>
    </row>
    <row r="48" spans="1:10" ht="15" hidden="1" customHeight="1" x14ac:dyDescent="0.3">
      <c r="A48" s="420"/>
      <c r="B48" s="589"/>
      <c r="C48" s="439" t="s">
        <v>564</v>
      </c>
      <c r="D48" s="436"/>
      <c r="E48" s="436"/>
      <c r="F48" s="440"/>
      <c r="G48" s="437"/>
      <c r="H48" s="484"/>
      <c r="J48" s="472"/>
    </row>
    <row r="49" spans="1:10" ht="12.75" hidden="1" customHeight="1" x14ac:dyDescent="0.25">
      <c r="A49" s="420"/>
      <c r="B49" s="421"/>
      <c r="C49" s="409" t="s">
        <v>851</v>
      </c>
      <c r="D49" s="436"/>
      <c r="E49" s="441"/>
      <c r="F49" s="442"/>
      <c r="G49" s="430"/>
      <c r="H49" s="482"/>
      <c r="I49" s="536"/>
      <c r="J49" s="471"/>
    </row>
    <row r="50" spans="1:10" ht="12.75" hidden="1" customHeight="1" x14ac:dyDescent="0.25">
      <c r="A50" s="420"/>
      <c r="B50" s="421"/>
      <c r="C50" s="409" t="s">
        <v>981</v>
      </c>
      <c r="D50" s="436"/>
      <c r="E50" s="441"/>
      <c r="F50" s="442"/>
      <c r="G50" s="430"/>
      <c r="H50" s="482"/>
      <c r="I50" s="536"/>
      <c r="J50" s="471"/>
    </row>
    <row r="51" spans="1:10" ht="12.75" hidden="1" customHeight="1" x14ac:dyDescent="0.25">
      <c r="A51" s="420"/>
      <c r="B51" s="421"/>
      <c r="C51" s="409" t="s">
        <v>982</v>
      </c>
      <c r="D51" s="436"/>
      <c r="E51" s="441"/>
      <c r="F51" s="442"/>
      <c r="G51" s="430"/>
      <c r="H51" s="482"/>
      <c r="I51" s="536"/>
      <c r="J51" s="471"/>
    </row>
    <row r="52" spans="1:10" ht="12.75" hidden="1" customHeight="1" x14ac:dyDescent="0.25">
      <c r="A52" s="420"/>
      <c r="B52" s="421"/>
      <c r="C52" s="409" t="s">
        <v>983</v>
      </c>
      <c r="D52" s="436"/>
      <c r="E52" s="415"/>
      <c r="F52" s="442"/>
      <c r="G52" s="430"/>
      <c r="H52" s="482"/>
      <c r="I52" s="536"/>
      <c r="J52" s="471"/>
    </row>
    <row r="53" spans="1:10" ht="12.75" hidden="1" customHeight="1" thickBot="1" x14ac:dyDescent="0.3">
      <c r="A53" s="420"/>
      <c r="B53" s="428"/>
      <c r="C53" s="435"/>
      <c r="D53" s="436"/>
      <c r="E53" s="415"/>
      <c r="F53" s="443">
        <f>SUM(F49:F52)</f>
        <v>0</v>
      </c>
      <c r="G53" s="437"/>
      <c r="H53" s="484"/>
      <c r="J53" s="471"/>
    </row>
    <row r="54" spans="1:10" ht="12.75" customHeight="1" x14ac:dyDescent="0.25">
      <c r="A54" s="420"/>
      <c r="B54" s="428"/>
      <c r="C54" s="435"/>
      <c r="D54" s="436"/>
      <c r="E54" s="415"/>
      <c r="F54" s="444"/>
      <c r="G54" s="437"/>
      <c r="H54" s="484"/>
      <c r="I54" s="538"/>
      <c r="J54" s="534"/>
    </row>
    <row r="55" spans="1:10" ht="15" customHeight="1" x14ac:dyDescent="0.25">
      <c r="A55" s="420"/>
      <c r="B55" s="421" t="s">
        <v>501</v>
      </c>
      <c r="C55" s="415"/>
      <c r="D55" s="415"/>
      <c r="E55" s="428"/>
      <c r="F55" s="428"/>
      <c r="G55" s="424"/>
      <c r="H55" s="485">
        <f>SUM(H7:H53)</f>
        <v>10247862</v>
      </c>
      <c r="I55" s="537">
        <f>IF(H55&lt;&gt;0,0,"NIL")</f>
        <v>0</v>
      </c>
      <c r="J55" s="472"/>
    </row>
    <row r="56" spans="1:10" ht="15" customHeight="1" x14ac:dyDescent="0.25">
      <c r="A56" s="420"/>
      <c r="B56" s="445" t="s">
        <v>999</v>
      </c>
      <c r="C56" s="415"/>
      <c r="D56" s="415"/>
      <c r="E56" s="415"/>
      <c r="F56" s="415"/>
      <c r="G56" s="415"/>
      <c r="H56" s="482"/>
      <c r="I56" s="536"/>
      <c r="J56" s="471"/>
    </row>
    <row r="57" spans="1:10" ht="12.75" customHeight="1" x14ac:dyDescent="0.25">
      <c r="A57" s="420"/>
      <c r="B57" s="446"/>
      <c r="C57" s="435" t="s">
        <v>1080</v>
      </c>
      <c r="D57" s="415"/>
      <c r="E57" s="415"/>
      <c r="F57" s="415"/>
      <c r="G57" s="423"/>
      <c r="H57" s="482"/>
      <c r="I57" s="536"/>
      <c r="J57" s="471"/>
    </row>
    <row r="58" spans="1:10" ht="12.75" hidden="1" customHeight="1" x14ac:dyDescent="0.25">
      <c r="A58" s="420"/>
      <c r="B58" s="446"/>
      <c r="C58" s="431" t="s">
        <v>510</v>
      </c>
      <c r="D58" s="415"/>
      <c r="E58" s="415"/>
      <c r="F58" s="411"/>
      <c r="G58" s="423"/>
      <c r="H58" s="482"/>
      <c r="I58" s="536"/>
      <c r="J58" s="471"/>
    </row>
    <row r="59" spans="1:10" ht="12.75" hidden="1" customHeight="1" x14ac:dyDescent="0.25">
      <c r="A59" s="420"/>
      <c r="B59" s="446"/>
      <c r="C59" s="431" t="s">
        <v>1081</v>
      </c>
      <c r="D59" s="415"/>
      <c r="E59" s="415"/>
      <c r="F59" s="411"/>
      <c r="G59" s="423"/>
      <c r="H59" s="482"/>
      <c r="I59" s="536"/>
      <c r="J59" s="471"/>
    </row>
    <row r="60" spans="1:10" ht="12.75" hidden="1" customHeight="1" x14ac:dyDescent="0.25">
      <c r="A60" s="420"/>
      <c r="B60" s="446"/>
      <c r="C60" s="431" t="s">
        <v>985</v>
      </c>
      <c r="D60" s="415"/>
      <c r="E60" s="415"/>
      <c r="F60" s="411"/>
      <c r="G60" s="423"/>
      <c r="H60" s="482"/>
      <c r="I60" s="536"/>
      <c r="J60" s="471"/>
    </row>
    <row r="61" spans="1:10" ht="12.75" hidden="1" customHeight="1" x14ac:dyDescent="0.25">
      <c r="A61" s="420"/>
      <c r="B61" s="446"/>
      <c r="C61" s="431" t="s">
        <v>984</v>
      </c>
      <c r="D61" s="415"/>
      <c r="E61" s="415"/>
      <c r="F61" s="411"/>
      <c r="G61" s="423"/>
      <c r="H61" s="482"/>
      <c r="I61" s="536"/>
      <c r="J61" s="471"/>
    </row>
    <row r="62" spans="1:10" ht="12.75" customHeight="1" x14ac:dyDescent="0.25">
      <c r="A62" s="420"/>
      <c r="B62" s="446"/>
      <c r="C62" s="431" t="s">
        <v>1177</v>
      </c>
      <c r="D62" s="415"/>
      <c r="E62" s="415"/>
      <c r="F62" s="411">
        <v>90000</v>
      </c>
      <c r="G62" s="423"/>
      <c r="H62" s="482"/>
      <c r="I62" s="536"/>
      <c r="J62" s="471"/>
    </row>
    <row r="63" spans="1:10" ht="12.75" customHeight="1" x14ac:dyDescent="0.25">
      <c r="A63" s="420"/>
      <c r="B63" s="446"/>
      <c r="C63" s="431" t="s">
        <v>1149</v>
      </c>
      <c r="D63" s="415"/>
      <c r="E63" s="415"/>
      <c r="F63" s="411">
        <v>20000</v>
      </c>
      <c r="G63" s="423"/>
      <c r="H63" s="482"/>
      <c r="I63" s="536"/>
      <c r="J63" s="471"/>
    </row>
    <row r="64" spans="1:10" ht="12.75" customHeight="1" x14ac:dyDescent="0.25">
      <c r="A64" s="420"/>
      <c r="B64" s="446"/>
      <c r="C64" s="431" t="s">
        <v>1215</v>
      </c>
      <c r="D64" s="415"/>
      <c r="E64" s="415"/>
      <c r="F64" s="411">
        <v>5000</v>
      </c>
      <c r="G64" s="423"/>
      <c r="H64" s="482"/>
      <c r="I64" s="536"/>
      <c r="J64" s="471"/>
    </row>
    <row r="65" spans="1:13" ht="12.75" customHeight="1" x14ac:dyDescent="0.25">
      <c r="A65" s="420"/>
      <c r="B65" s="446"/>
      <c r="C65" s="431" t="s">
        <v>509</v>
      </c>
      <c r="D65" s="415"/>
      <c r="E65" s="415"/>
      <c r="F65" s="411">
        <v>12000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5" customHeight="1" x14ac:dyDescent="0.25">
      <c r="A70" s="420"/>
      <c r="B70" s="446"/>
      <c r="C70" s="431"/>
      <c r="D70" s="415"/>
      <c r="E70" s="415"/>
      <c r="F70" s="448">
        <f>SUM(F62:F69)</f>
        <v>127000</v>
      </c>
      <c r="G70" s="415">
        <f>IF(F70&gt;150000,150000,F70)</f>
        <v>127000</v>
      </c>
      <c r="H70" s="482"/>
      <c r="I70" s="536"/>
      <c r="J70" s="471"/>
    </row>
    <row r="71" spans="1:13" ht="15" customHeight="1" x14ac:dyDescent="0.25">
      <c r="A71" s="420"/>
      <c r="B71" s="446"/>
      <c r="C71" s="449" t="s">
        <v>1079</v>
      </c>
      <c r="D71" s="415"/>
      <c r="E71" s="415"/>
      <c r="F71" s="450"/>
      <c r="G71" s="411">
        <v>50000</v>
      </c>
      <c r="H71" s="482"/>
      <c r="I71" s="536"/>
      <c r="J71" s="471"/>
    </row>
    <row r="72" spans="1:13" ht="15" customHeight="1" x14ac:dyDescent="0.25">
      <c r="A72" s="420"/>
      <c r="B72" s="446"/>
      <c r="C72" s="449" t="s">
        <v>852</v>
      </c>
      <c r="D72" s="408">
        <v>40000</v>
      </c>
      <c r="E72" s="415"/>
      <c r="F72" s="450"/>
      <c r="G72" s="411">
        <f>25000</f>
        <v>25000</v>
      </c>
      <c r="H72" s="482"/>
      <c r="I72" s="536"/>
      <c r="J72" s="471"/>
    </row>
    <row r="73" spans="1:13" ht="15" customHeight="1" x14ac:dyDescent="0.25">
      <c r="A73" s="420"/>
      <c r="B73" s="446"/>
      <c r="C73" s="449" t="s">
        <v>1216</v>
      </c>
      <c r="D73" s="415"/>
      <c r="E73" s="415"/>
      <c r="F73" s="415"/>
      <c r="G73" s="411">
        <v>77000</v>
      </c>
      <c r="H73" s="482"/>
      <c r="I73" s="536"/>
      <c r="J73" s="471"/>
    </row>
    <row r="74" spans="1:13" ht="15" customHeight="1" x14ac:dyDescent="0.25">
      <c r="A74" s="420"/>
      <c r="B74" s="415"/>
      <c r="C74" s="676" t="s">
        <v>979</v>
      </c>
      <c r="D74" s="415"/>
      <c r="E74" s="428"/>
      <c r="F74" s="428"/>
      <c r="G74" s="447">
        <f>IF(G35&gt;10000, 10000, G35)</f>
        <v>0</v>
      </c>
      <c r="H74" s="482"/>
      <c r="I74" s="536"/>
      <c r="J74" s="471"/>
      <c r="L74" s="675"/>
    </row>
    <row r="75" spans="1:13" x14ac:dyDescent="0.25">
      <c r="A75" s="420"/>
      <c r="B75" s="415"/>
      <c r="C75" s="543" t="s">
        <v>853</v>
      </c>
      <c r="D75" s="415"/>
      <c r="E75" s="428"/>
      <c r="F75" s="428"/>
      <c r="G75" s="411"/>
      <c r="H75" s="482">
        <f>SUM(G70:G75)</f>
        <v>279000</v>
      </c>
      <c r="I75" s="537">
        <f>IF(H75&lt;&gt;0,0,"NIL")</f>
        <v>0</v>
      </c>
      <c r="J75" s="472"/>
    </row>
    <row r="76" spans="1:13" ht="15.75" customHeight="1" thickBot="1" x14ac:dyDescent="0.3">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x14ac:dyDescent="0.25">
      <c r="A77" s="420"/>
      <c r="B77" s="450" t="s">
        <v>778</v>
      </c>
      <c r="C77" s="415"/>
      <c r="D77" s="415"/>
      <c r="E77" s="444" t="s">
        <v>521</v>
      </c>
      <c r="F77" s="454" t="s">
        <v>522</v>
      </c>
      <c r="G77" s="444" t="s">
        <v>524</v>
      </c>
      <c r="H77" s="487"/>
      <c r="J77" s="471"/>
    </row>
    <row r="78" spans="1:13" ht="15" customHeight="1" x14ac:dyDescent="0.25">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x14ac:dyDescent="0.25">
      <c r="A79" s="420"/>
      <c r="B79" s="450"/>
      <c r="C79" s="408" t="s">
        <v>518</v>
      </c>
      <c r="D79" s="415"/>
      <c r="E79" s="410"/>
      <c r="F79" s="457">
        <v>0.15</v>
      </c>
      <c r="G79" s="523"/>
      <c r="H79" s="484"/>
      <c r="J79" s="471"/>
    </row>
    <row r="80" spans="1:13" ht="15" hidden="1" customHeight="1" x14ac:dyDescent="0.25">
      <c r="A80" s="420"/>
      <c r="B80" s="415"/>
      <c r="C80" s="408" t="s">
        <v>518</v>
      </c>
      <c r="D80" s="456"/>
      <c r="E80" s="428"/>
      <c r="F80" s="415"/>
      <c r="G80" s="526">
        <f>G78+G79</f>
        <v>672694</v>
      </c>
      <c r="H80" s="488"/>
      <c r="I80" s="537"/>
      <c r="J80" s="472"/>
    </row>
    <row r="81" spans="1:11" ht="15" customHeight="1" x14ac:dyDescent="0.25">
      <c r="A81" s="420"/>
      <c r="B81" s="415"/>
      <c r="C81" s="408" t="s">
        <v>519</v>
      </c>
      <c r="D81" s="456"/>
      <c r="E81" s="684">
        <v>255000</v>
      </c>
      <c r="F81" s="678">
        <v>0.15</v>
      </c>
      <c r="G81" s="526">
        <f>ROUND(E81*F81,0)</f>
        <v>38250</v>
      </c>
      <c r="H81" s="488"/>
      <c r="I81" s="537"/>
      <c r="J81" s="472"/>
    </row>
    <row r="82" spans="1:11" ht="15" customHeight="1" x14ac:dyDescent="0.25">
      <c r="A82" s="420"/>
      <c r="B82" s="415"/>
      <c r="C82" s="408" t="s">
        <v>519</v>
      </c>
      <c r="D82" s="456"/>
      <c r="E82" s="684">
        <f>+G32</f>
        <v>6888212</v>
      </c>
      <c r="F82" s="678">
        <v>0.2</v>
      </c>
      <c r="G82" s="526">
        <f>ROUND(E82*F82,0)</f>
        <v>1377642</v>
      </c>
      <c r="H82" s="488"/>
      <c r="I82" s="537"/>
      <c r="J82" s="472"/>
    </row>
    <row r="83" spans="1:11" ht="15" customHeight="1" x14ac:dyDescent="0.25">
      <c r="A83" s="420"/>
      <c r="C83" s="524"/>
      <c r="D83" s="456"/>
      <c r="E83" s="428"/>
      <c r="F83" s="415"/>
      <c r="G83" s="527">
        <f>IF(H76&gt;500000,0,IF(G80&gt;2000,2000,G80))</f>
        <v>0</v>
      </c>
      <c r="H83" s="489">
        <f>G80+G81+G82</f>
        <v>2088586</v>
      </c>
      <c r="I83" s="537">
        <f>IF(H83&lt;&gt;0,0,"NIL")</f>
        <v>0</v>
      </c>
      <c r="J83" s="472"/>
    </row>
    <row r="84" spans="1:11" ht="15" customHeight="1" x14ac:dyDescent="0.25">
      <c r="A84" s="420"/>
      <c r="B84" s="408" t="s">
        <v>774</v>
      </c>
      <c r="C84" s="415"/>
      <c r="D84" s="456"/>
      <c r="E84" s="428"/>
      <c r="F84" s="415"/>
      <c r="G84" s="428"/>
      <c r="H84" s="489">
        <f>ROUND((H83)*0.02,0)</f>
        <v>41772</v>
      </c>
      <c r="I84" s="537">
        <f>IF(H84&lt;&gt;0,0,"NIL")</f>
        <v>0</v>
      </c>
      <c r="J84" s="472"/>
    </row>
    <row r="85" spans="1:11" ht="15" customHeight="1" x14ac:dyDescent="0.25">
      <c r="A85" s="420"/>
      <c r="B85" s="408" t="s">
        <v>775</v>
      </c>
      <c r="C85" s="415"/>
      <c r="D85" s="456"/>
      <c r="E85" s="458"/>
      <c r="F85" s="415"/>
      <c r="G85" s="428"/>
      <c r="H85" s="528">
        <f>ROUND((H83)*0.01,0)</f>
        <v>20886</v>
      </c>
      <c r="I85" s="540">
        <f>IF(H85&lt;&gt;0,0,"NIL")</f>
        <v>0</v>
      </c>
      <c r="J85" s="474"/>
    </row>
    <row r="86" spans="1:11" ht="15" customHeight="1" x14ac:dyDescent="0.25">
      <c r="A86" s="420"/>
      <c r="B86" s="450" t="s">
        <v>565</v>
      </c>
      <c r="C86" s="415"/>
      <c r="D86" s="456"/>
      <c r="E86" s="458"/>
      <c r="F86" s="415"/>
      <c r="G86" s="428"/>
      <c r="H86" s="488">
        <f>SUM(H83:H85)</f>
        <v>2151244</v>
      </c>
      <c r="I86" s="537"/>
      <c r="J86" s="472"/>
    </row>
    <row r="87" spans="1:11" ht="15" hidden="1" customHeight="1" x14ac:dyDescent="0.25">
      <c r="A87" s="420"/>
      <c r="B87" s="427"/>
      <c r="C87" s="428"/>
      <c r="D87" s="428"/>
      <c r="E87" s="428"/>
      <c r="F87" s="428"/>
      <c r="G87" s="428"/>
      <c r="H87" s="528"/>
      <c r="I87" s="540"/>
      <c r="J87" s="473"/>
    </row>
    <row r="88" spans="1:11" ht="15" hidden="1" customHeight="1" x14ac:dyDescent="0.25">
      <c r="A88" s="420"/>
      <c r="B88" s="450"/>
      <c r="C88" s="428"/>
      <c r="D88" s="428"/>
      <c r="E88" s="428"/>
      <c r="F88" s="428"/>
      <c r="G88" s="428"/>
      <c r="H88" s="491">
        <f>H86+H87</f>
        <v>2151244</v>
      </c>
      <c r="I88" s="537"/>
      <c r="J88" s="472"/>
    </row>
    <row r="89" spans="1:11" ht="15" customHeight="1" x14ac:dyDescent="0.25">
      <c r="A89" s="420"/>
      <c r="B89" s="415" t="s">
        <v>1202</v>
      </c>
      <c r="C89" s="428"/>
      <c r="D89" s="428"/>
      <c r="E89" s="428"/>
      <c r="F89" s="428"/>
      <c r="G89" s="428"/>
      <c r="H89" s="492">
        <f>ROUND(H86*12/100,0)*0</f>
        <v>0</v>
      </c>
      <c r="I89" s="540" t="str">
        <f>IF(H89&lt;&gt;0,0,"NIL")</f>
        <v>NIL</v>
      </c>
      <c r="J89" s="473"/>
    </row>
    <row r="90" spans="1:11" ht="15" customHeight="1" x14ac:dyDescent="0.25">
      <c r="A90" s="420"/>
      <c r="B90" s="450" t="s">
        <v>768</v>
      </c>
      <c r="C90" s="428"/>
      <c r="D90" s="428"/>
      <c r="E90" s="428"/>
      <c r="F90" s="428"/>
      <c r="G90" s="428"/>
      <c r="H90" s="490">
        <f>H88+H89</f>
        <v>2151244</v>
      </c>
      <c r="I90" s="537">
        <f>IF(H90&lt;&gt;0,0,"NIL")</f>
        <v>0</v>
      </c>
      <c r="J90" s="472"/>
    </row>
    <row r="91" spans="1:11" ht="15" customHeight="1" x14ac:dyDescent="0.25">
      <c r="A91" s="420"/>
      <c r="B91" s="421" t="s">
        <v>571</v>
      </c>
      <c r="C91" s="428"/>
      <c r="D91" s="428"/>
      <c r="E91" s="428"/>
      <c r="F91" s="428"/>
      <c r="G91" s="428"/>
      <c r="H91" s="490"/>
      <c r="I91" s="537"/>
      <c r="J91" s="471"/>
    </row>
    <row r="92" spans="1:11" ht="15" customHeight="1" x14ac:dyDescent="0.3">
      <c r="A92" s="420"/>
      <c r="B92" s="667"/>
      <c r="C92" s="1340" t="s">
        <v>993</v>
      </c>
      <c r="D92" s="1340"/>
      <c r="E92" s="1340"/>
      <c r="F92" s="1340"/>
      <c r="G92" s="447">
        <f>118000+10000+6000</f>
        <v>134000</v>
      </c>
      <c r="H92" s="482"/>
      <c r="I92" s="536"/>
      <c r="J92" s="472"/>
    </row>
    <row r="93" spans="1:11" ht="15" customHeight="1" x14ac:dyDescent="0.3">
      <c r="A93" s="420"/>
      <c r="B93" s="588">
        <f>SUM(G92:G93)</f>
        <v>184000</v>
      </c>
      <c r="C93" s="1340" t="s">
        <v>1180</v>
      </c>
      <c r="D93" s="1340"/>
      <c r="E93" s="1340"/>
      <c r="F93" s="1340"/>
      <c r="G93" s="410">
        <v>50000</v>
      </c>
      <c r="H93" s="482"/>
      <c r="I93" s="536"/>
      <c r="J93" s="472"/>
    </row>
    <row r="94" spans="1:11" ht="12.75" customHeight="1" thickBot="1" x14ac:dyDescent="0.35">
      <c r="A94" s="414"/>
      <c r="B94" s="477"/>
      <c r="C94" s="1342" t="s">
        <v>1219</v>
      </c>
      <c r="D94" s="1342"/>
      <c r="E94" s="1342"/>
      <c r="F94" s="1342"/>
      <c r="G94" s="481">
        <v>1967244</v>
      </c>
      <c r="H94" s="493">
        <f>SUM(G92:G94)</f>
        <v>2151244</v>
      </c>
      <c r="I94" s="541">
        <f>IF(H94&lt;&gt;0,0,"NIL")</f>
        <v>0</v>
      </c>
      <c r="J94" s="478"/>
    </row>
    <row r="95" spans="1:11" ht="18" customHeight="1" thickBot="1" x14ac:dyDescent="0.3">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x14ac:dyDescent="0.25">
      <c r="A96" s="567"/>
      <c r="B96" s="570"/>
      <c r="C96" s="570"/>
      <c r="D96" s="570"/>
      <c r="E96" s="570"/>
      <c r="F96" s="570"/>
      <c r="G96" s="570"/>
      <c r="H96" s="570"/>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row r="99" spans="1:11" x14ac:dyDescent="0.25">
      <c r="A99" s="567"/>
      <c r="B99" s="554"/>
      <c r="C99" s="554"/>
      <c r="D99" s="554"/>
      <c r="E99" s="554"/>
      <c r="F99" s="554"/>
      <c r="G99" s="554"/>
      <c r="H99" s="554"/>
      <c r="I99" s="568"/>
      <c r="J99" s="569"/>
      <c r="K99" s="554"/>
    </row>
    <row r="100" spans="1:11" x14ac:dyDescent="0.25">
      <c r="A100" s="567"/>
      <c r="B100" s="554"/>
      <c r="C100" s="554"/>
      <c r="D100" s="554"/>
      <c r="E100" s="554"/>
      <c r="F100" s="554"/>
      <c r="G100" s="554"/>
      <c r="H100" s="554"/>
      <c r="I100" s="568"/>
      <c r="J100" s="569"/>
      <c r="K100" s="554"/>
    </row>
    <row r="101" spans="1:11" x14ac:dyDescent="0.25">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xr:uid="{00000000-0002-0000-0B00-000000000000}">
      <formula1>"SALARY RECEIVED, PENSION RECEIVED"</formula1>
    </dataValidation>
    <dataValidation type="list" errorStyle="information" allowBlank="1" showInputMessage="1" showErrorMessage="1" sqref="C60" xr:uid="{00000000-0002-0000-0B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4"/>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1492000</v>
      </c>
      <c r="H4" s="482"/>
      <c r="I4" s="536"/>
      <c r="J4" s="471"/>
    </row>
    <row r="5" spans="1:10" ht="15" hidden="1" customHeight="1" x14ac:dyDescent="0.25">
      <c r="A5" s="420"/>
      <c r="B5" s="421"/>
      <c r="C5" s="408"/>
      <c r="D5" s="422"/>
      <c r="E5" s="415"/>
      <c r="F5" s="423"/>
      <c r="G5" s="411"/>
      <c r="H5" s="482"/>
      <c r="I5" s="536"/>
      <c r="J5" s="471"/>
    </row>
    <row r="6" spans="1:10" ht="15" hidden="1" customHeight="1" x14ac:dyDescent="0.25">
      <c r="A6" s="420"/>
      <c r="B6" s="421"/>
      <c r="C6" s="408"/>
      <c r="D6" s="422"/>
      <c r="E6" s="415"/>
      <c r="F6" s="423"/>
      <c r="G6" s="411"/>
      <c r="H6" s="482"/>
      <c r="I6" s="536"/>
      <c r="J6" s="471"/>
    </row>
    <row r="7" spans="1:10" ht="15" customHeight="1" x14ac:dyDescent="0.25">
      <c r="A7" s="420"/>
      <c r="B7" s="415"/>
      <c r="C7" s="422"/>
      <c r="D7" s="415"/>
      <c r="E7" s="415"/>
      <c r="F7" s="415"/>
      <c r="G7" s="425"/>
      <c r="H7" s="482">
        <f>SUM(G4:G7)</f>
        <v>1492000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415" t="s">
        <v>1185</v>
      </c>
      <c r="D9" s="415"/>
      <c r="E9" s="525"/>
      <c r="F9" s="423"/>
      <c r="G9" s="637">
        <f>200000*-1</f>
        <v>-200000</v>
      </c>
      <c r="H9" s="482"/>
      <c r="I9" s="537"/>
      <c r="J9" s="472"/>
    </row>
    <row r="10" spans="1:10" ht="15" customHeight="1" x14ac:dyDescent="0.25">
      <c r="A10" s="420"/>
      <c r="B10" s="426"/>
      <c r="C10" s="583" t="s">
        <v>1127</v>
      </c>
      <c r="D10" s="422"/>
      <c r="E10" s="672"/>
      <c r="F10" s="679"/>
      <c r="G10" s="411">
        <v>900000</v>
      </c>
      <c r="H10" s="482"/>
      <c r="I10" s="537"/>
      <c r="J10" s="472"/>
    </row>
    <row r="11" spans="1:10" ht="15" customHeight="1" x14ac:dyDescent="0.25">
      <c r="A11" s="420"/>
      <c r="B11" s="426"/>
      <c r="C11" s="408" t="s">
        <v>769</v>
      </c>
      <c r="D11" s="415"/>
      <c r="E11" s="408"/>
      <c r="F11" s="415"/>
      <c r="G11" s="479">
        <f>80000*0.5</f>
        <v>40000</v>
      </c>
      <c r="H11" s="482"/>
      <c r="I11" s="537"/>
      <c r="J11" s="472"/>
    </row>
    <row r="12" spans="1:10" ht="15" customHeight="1" x14ac:dyDescent="0.25">
      <c r="A12" s="420"/>
      <c r="B12" s="426"/>
      <c r="C12" s="408"/>
      <c r="D12" s="415"/>
      <c r="E12" s="408"/>
      <c r="F12" s="415"/>
      <c r="G12" s="423">
        <f>IF((G10-G11)&lt;0,0,(G10-G11))</f>
        <v>860000</v>
      </c>
      <c r="H12" s="482"/>
      <c r="I12" s="537"/>
      <c r="J12" s="472"/>
    </row>
    <row r="13" spans="1:10" ht="15" customHeight="1" x14ac:dyDescent="0.25">
      <c r="A13" s="420"/>
      <c r="B13" s="426"/>
      <c r="C13" s="590" t="s">
        <v>514</v>
      </c>
      <c r="D13" s="415"/>
      <c r="E13" s="408" t="s">
        <v>1093</v>
      </c>
      <c r="F13" s="415">
        <f>G12*0.3</f>
        <v>258000</v>
      </c>
      <c r="G13" s="423"/>
      <c r="H13" s="482"/>
      <c r="I13" s="537"/>
      <c r="J13" s="472"/>
    </row>
    <row r="14" spans="1:10" ht="15" customHeight="1" x14ac:dyDescent="0.3">
      <c r="A14" s="420"/>
      <c r="B14" s="426"/>
      <c r="D14" s="415"/>
      <c r="E14" s="434" t="s">
        <v>1094</v>
      </c>
      <c r="F14" s="681">
        <f>440000/2</f>
        <v>220000</v>
      </c>
      <c r="G14" s="592">
        <f>F13+F14</f>
        <v>478000</v>
      </c>
      <c r="H14" s="482">
        <f>G12-G14+G9</f>
        <v>182000</v>
      </c>
      <c r="I14" s="537"/>
      <c r="J14" s="472"/>
    </row>
    <row r="15" spans="1:10" ht="15" hidden="1" customHeight="1" thickTop="1" x14ac:dyDescent="0.25">
      <c r="A15" s="420"/>
      <c r="B15" s="415"/>
      <c r="C15" s="583" t="s">
        <v>1164</v>
      </c>
      <c r="D15" s="422"/>
      <c r="E15" s="663" t="s">
        <v>1185</v>
      </c>
      <c r="F15" s="415">
        <f t="shared" ref="F15:F23" si="0">G14*0.3</f>
        <v>143400</v>
      </c>
      <c r="G15" s="411"/>
      <c r="H15" s="482"/>
      <c r="I15" s="537"/>
      <c r="J15" s="472"/>
    </row>
    <row r="16" spans="1:10" ht="15" hidden="1" customHeight="1" x14ac:dyDescent="0.25">
      <c r="A16" s="420"/>
      <c r="B16" s="415"/>
      <c r="C16" s="408" t="s">
        <v>769</v>
      </c>
      <c r="D16" s="415"/>
      <c r="E16" s="408"/>
      <c r="F16" s="415">
        <f t="shared" si="0"/>
        <v>0</v>
      </c>
      <c r="G16" s="479"/>
      <c r="H16" s="482"/>
      <c r="I16" s="537"/>
      <c r="J16" s="472"/>
    </row>
    <row r="17" spans="1:13" ht="15" hidden="1" customHeight="1" x14ac:dyDescent="0.25">
      <c r="A17" s="420"/>
      <c r="B17" s="415"/>
      <c r="C17" s="408"/>
      <c r="D17" s="415"/>
      <c r="E17" s="408"/>
      <c r="F17" s="415">
        <f t="shared" si="0"/>
        <v>0</v>
      </c>
      <c r="G17" s="423">
        <f>IF((G15-G16)&lt;0,0,(G15-G16))</f>
        <v>0</v>
      </c>
      <c r="H17" s="482"/>
      <c r="I17" s="537"/>
      <c r="J17" s="472"/>
    </row>
    <row r="18" spans="1:13" ht="15" hidden="1" customHeight="1" x14ac:dyDescent="0.25">
      <c r="A18" s="420"/>
      <c r="B18" s="415"/>
      <c r="C18" s="590" t="s">
        <v>514</v>
      </c>
      <c r="D18" s="415"/>
      <c r="E18" s="408" t="s">
        <v>1093</v>
      </c>
      <c r="F18" s="415">
        <f t="shared" si="0"/>
        <v>0</v>
      </c>
      <c r="G18" s="423"/>
      <c r="H18" s="482"/>
      <c r="I18" s="537"/>
      <c r="J18" s="472"/>
    </row>
    <row r="19" spans="1:13" ht="15" hidden="1" customHeight="1" x14ac:dyDescent="0.3">
      <c r="A19" s="420"/>
      <c r="B19" s="415"/>
      <c r="C19" s="590"/>
      <c r="D19" s="415"/>
      <c r="E19" s="434" t="s">
        <v>1094</v>
      </c>
      <c r="F19" s="415">
        <f t="shared" si="0"/>
        <v>0</v>
      </c>
      <c r="G19" s="592"/>
      <c r="H19" s="482"/>
      <c r="I19" s="537"/>
      <c r="J19" s="472"/>
    </row>
    <row r="20" spans="1:13" ht="15" hidden="1" customHeight="1" thickBot="1" x14ac:dyDescent="0.3">
      <c r="A20" s="420"/>
      <c r="B20" s="415"/>
      <c r="D20" s="415"/>
      <c r="F20" s="415">
        <f t="shared" si="0"/>
        <v>0</v>
      </c>
      <c r="G20" s="674">
        <f>0-G19</f>
        <v>0</v>
      </c>
      <c r="I20" s="537" t="e">
        <f>IF(#REF!&lt;&gt;0,0,"NIL")</f>
        <v>#REF!</v>
      </c>
      <c r="J20" s="472"/>
    </row>
    <row r="21" spans="1:13" ht="15" hidden="1" customHeight="1" x14ac:dyDescent="0.25">
      <c r="A21" s="420"/>
      <c r="B21" s="421" t="s">
        <v>996</v>
      </c>
      <c r="C21" s="408"/>
      <c r="D21" s="415"/>
      <c r="E21" s="429"/>
      <c r="F21" s="415">
        <f t="shared" si="0"/>
        <v>0</v>
      </c>
      <c r="G21" s="415"/>
      <c r="H21" s="482"/>
      <c r="I21" s="537"/>
      <c r="J21" s="472"/>
    </row>
    <row r="22" spans="1:13" ht="15" hidden="1" customHeight="1" x14ac:dyDescent="0.25">
      <c r="A22" s="420"/>
      <c r="B22" s="415"/>
      <c r="C22" s="408" t="s">
        <v>991</v>
      </c>
      <c r="D22" s="415"/>
      <c r="E22" s="429"/>
      <c r="F22" s="415">
        <f t="shared" si="0"/>
        <v>0</v>
      </c>
      <c r="G22" s="411"/>
      <c r="H22" s="482"/>
      <c r="I22" s="537"/>
      <c r="J22" s="472"/>
    </row>
    <row r="23" spans="1:13" ht="15" hidden="1" customHeight="1" x14ac:dyDescent="0.25">
      <c r="A23" s="420"/>
      <c r="B23" s="415"/>
      <c r="C23" s="408" t="s">
        <v>992</v>
      </c>
      <c r="D23" s="415"/>
      <c r="E23" s="429"/>
      <c r="F23" s="415">
        <f t="shared" si="0"/>
        <v>0</v>
      </c>
      <c r="G23" s="479"/>
      <c r="H23" s="483">
        <f>G22-G23</f>
        <v>0</v>
      </c>
      <c r="I23" s="537" t="str">
        <f>IF(H23&lt;&gt;0,0,"NIL")</f>
        <v>NIL</v>
      </c>
      <c r="J23" s="472"/>
    </row>
    <row r="24" spans="1:13" ht="15" customHeight="1" x14ac:dyDescent="0.25">
      <c r="A24" s="420"/>
      <c r="B24" s="421" t="s">
        <v>997</v>
      </c>
      <c r="C24" s="415"/>
      <c r="D24" s="415"/>
      <c r="E24" s="415"/>
      <c r="F24" s="415"/>
      <c r="G24" s="415"/>
      <c r="H24" s="482"/>
      <c r="I24" s="537"/>
      <c r="J24" s="472"/>
    </row>
    <row r="25" spans="1:13" x14ac:dyDescent="0.25">
      <c r="A25" s="420"/>
      <c r="B25" s="415"/>
      <c r="C25" s="408" t="s">
        <v>498</v>
      </c>
      <c r="D25" s="415"/>
      <c r="E25" s="415"/>
      <c r="F25" s="415"/>
      <c r="G25" s="415"/>
      <c r="H25" s="482"/>
      <c r="I25" s="537"/>
      <c r="J25" s="472"/>
    </row>
    <row r="26" spans="1:13" x14ac:dyDescent="0.25">
      <c r="A26" s="420"/>
      <c r="B26" s="415"/>
      <c r="C26" s="680" t="s">
        <v>1222</v>
      </c>
      <c r="D26" s="415"/>
      <c r="E26" s="415"/>
      <c r="F26" s="415"/>
      <c r="G26" s="415"/>
      <c r="H26" s="482"/>
      <c r="I26" s="537"/>
      <c r="J26" s="472"/>
    </row>
    <row r="27" spans="1:13" x14ac:dyDescent="0.25">
      <c r="A27" s="420"/>
      <c r="B27" s="688">
        <v>0.1</v>
      </c>
      <c r="D27" s="672" t="s">
        <v>1220</v>
      </c>
      <c r="E27" s="682" t="s">
        <v>1211</v>
      </c>
      <c r="F27" s="408">
        <f>2600000-1000</f>
        <v>2599000</v>
      </c>
      <c r="G27" s="686"/>
      <c r="H27" s="482"/>
      <c r="I27" s="537"/>
      <c r="J27" s="472"/>
      <c r="M27" s="686"/>
    </row>
    <row r="28" spans="1:13" x14ac:dyDescent="0.25">
      <c r="A28" s="420"/>
      <c r="C28" s="408"/>
      <c r="D28" s="689">
        <f>ROUND(25000*1081/109,0)</f>
        <v>247936</v>
      </c>
      <c r="E28" s="408" t="s">
        <v>1197</v>
      </c>
      <c r="F28" s="683">
        <v>25000</v>
      </c>
      <c r="G28" s="408"/>
      <c r="H28" s="482"/>
      <c r="I28" s="537"/>
      <c r="J28" s="472"/>
    </row>
    <row r="29" spans="1:13" x14ac:dyDescent="0.25">
      <c r="A29" s="420"/>
      <c r="C29" s="408"/>
      <c r="D29" s="408"/>
      <c r="E29" s="408" t="s">
        <v>1221</v>
      </c>
      <c r="F29" s="408">
        <v>200000</v>
      </c>
      <c r="G29" s="687">
        <f>F27-F28-F29</f>
        <v>2374000</v>
      </c>
      <c r="H29" s="482">
        <f>G29</f>
        <v>2374000</v>
      </c>
      <c r="I29" s="537"/>
      <c r="J29" s="472"/>
    </row>
    <row r="30" spans="1:13" ht="20.100000000000001" customHeight="1" x14ac:dyDescent="0.25">
      <c r="A30" s="420"/>
      <c r="B30" s="421" t="s">
        <v>998</v>
      </c>
      <c r="C30" s="415"/>
      <c r="D30" s="415"/>
      <c r="E30" s="415"/>
      <c r="F30" s="415"/>
      <c r="G30" s="415"/>
      <c r="H30" s="482"/>
      <c r="I30" s="536"/>
      <c r="J30" s="471"/>
    </row>
    <row r="31" spans="1:13" x14ac:dyDescent="0.25">
      <c r="A31" s="420"/>
      <c r="B31" s="636"/>
      <c r="C31" s="431"/>
      <c r="D31" s="431"/>
      <c r="E31" s="431"/>
      <c r="F31" s="415"/>
      <c r="G31" s="415"/>
      <c r="H31" s="482"/>
      <c r="I31" s="536"/>
      <c r="J31" s="471"/>
    </row>
    <row r="32" spans="1:13" x14ac:dyDescent="0.25">
      <c r="A32" s="420"/>
      <c r="B32" s="636"/>
      <c r="C32" s="431" t="s">
        <v>1207</v>
      </c>
      <c r="D32" s="431" t="s">
        <v>1223</v>
      </c>
      <c r="E32" s="422">
        <v>800000</v>
      </c>
      <c r="G32" s="411"/>
      <c r="H32" s="482"/>
      <c r="I32" s="536"/>
      <c r="J32" s="471"/>
    </row>
    <row r="33" spans="1:10" x14ac:dyDescent="0.25">
      <c r="A33" s="420"/>
      <c r="B33" s="589"/>
      <c r="C33" s="431" t="s">
        <v>1224</v>
      </c>
      <c r="F33" s="408"/>
      <c r="G33" s="462">
        <v>125000</v>
      </c>
      <c r="H33" s="482"/>
      <c r="I33" s="536"/>
      <c r="J33" s="471"/>
    </row>
    <row r="34" spans="1:10" ht="15" customHeight="1" x14ac:dyDescent="0.3">
      <c r="A34" s="420"/>
      <c r="B34" s="589"/>
      <c r="C34" s="431"/>
      <c r="D34" s="434"/>
      <c r="E34" s="433"/>
      <c r="F34" s="433"/>
      <c r="G34" s="480">
        <f>SUM(G31:G33)</f>
        <v>125000</v>
      </c>
      <c r="H34" s="482"/>
      <c r="I34" s="536"/>
      <c r="J34" s="471"/>
    </row>
    <row r="35" spans="1:10" ht="15" hidden="1" customHeight="1" x14ac:dyDescent="0.25">
      <c r="A35" s="420"/>
      <c r="B35" s="589"/>
      <c r="C35" s="435" t="s">
        <v>512</v>
      </c>
      <c r="D35" s="436"/>
      <c r="E35" s="436"/>
      <c r="F35" s="436"/>
      <c r="G35" s="437"/>
      <c r="H35" s="482"/>
      <c r="I35" s="536"/>
      <c r="J35" s="471"/>
    </row>
    <row r="36" spans="1:10" ht="15" hidden="1" customHeight="1" x14ac:dyDescent="0.25">
      <c r="A36" s="420"/>
      <c r="B36" s="589"/>
      <c r="G36" s="410"/>
      <c r="H36" s="482"/>
      <c r="I36" s="536"/>
      <c r="J36" s="471"/>
    </row>
    <row r="37" spans="1:10" ht="15" hidden="1" customHeight="1" x14ac:dyDescent="0.25">
      <c r="A37" s="420"/>
      <c r="B37" s="589"/>
      <c r="G37" s="410"/>
      <c r="H37" s="482"/>
      <c r="I37" s="536"/>
      <c r="J37" s="471"/>
    </row>
    <row r="38" spans="1:10" ht="15" hidden="1" customHeight="1" x14ac:dyDescent="0.25">
      <c r="A38" s="420"/>
      <c r="B38" s="589"/>
      <c r="C38" s="436" t="s">
        <v>846</v>
      </c>
      <c r="D38" s="436"/>
      <c r="E38" s="415"/>
      <c r="F38" s="438"/>
      <c r="G38" s="437"/>
      <c r="H38" s="482"/>
      <c r="I38" s="536"/>
      <c r="J38" s="471"/>
    </row>
    <row r="39" spans="1:10" ht="15" hidden="1" customHeight="1" x14ac:dyDescent="0.25">
      <c r="A39" s="420"/>
      <c r="B39" s="589"/>
      <c r="C39" s="432" t="s">
        <v>847</v>
      </c>
      <c r="D39" s="415"/>
      <c r="E39" s="415"/>
      <c r="F39" s="461">
        <f>ROUND(IF(F38/3&gt;15000,15000,F38/3),0)</f>
        <v>0</v>
      </c>
      <c r="G39" s="447">
        <f>F38-F39</f>
        <v>0</v>
      </c>
      <c r="H39" s="482"/>
      <c r="I39" s="536"/>
      <c r="J39" s="471"/>
    </row>
    <row r="40" spans="1:10" ht="15" hidden="1" customHeight="1" x14ac:dyDescent="0.25">
      <c r="A40" s="420"/>
      <c r="B40" s="589"/>
      <c r="C40" s="415"/>
      <c r="D40" s="415"/>
      <c r="E40" s="415"/>
      <c r="F40" s="415"/>
      <c r="G40" s="480">
        <f>SUM(G36:G39)</f>
        <v>0</v>
      </c>
      <c r="H40" s="484"/>
      <c r="J40" s="472"/>
    </row>
    <row r="41" spans="1:10" ht="15" customHeight="1" x14ac:dyDescent="0.25">
      <c r="A41" s="420"/>
      <c r="B41" s="589"/>
      <c r="C41" s="415"/>
      <c r="D41" s="415"/>
      <c r="E41" s="415"/>
      <c r="F41" s="415"/>
      <c r="G41" s="437"/>
      <c r="H41" s="482">
        <f>+G34</f>
        <v>125000</v>
      </c>
      <c r="I41" s="537">
        <f>IF(H41&lt;&gt;0,0,"NIL")</f>
        <v>0</v>
      </c>
      <c r="J41" s="472"/>
    </row>
    <row r="42" spans="1:10" ht="15" hidden="1" customHeight="1" x14ac:dyDescent="0.3">
      <c r="A42" s="420"/>
      <c r="B42" s="589"/>
      <c r="C42" s="439" t="s">
        <v>564</v>
      </c>
      <c r="D42" s="436"/>
      <c r="E42" s="436"/>
      <c r="F42" s="440"/>
      <c r="G42" s="437"/>
      <c r="H42" s="484"/>
      <c r="J42" s="472"/>
    </row>
    <row r="43" spans="1:10" ht="12.75" hidden="1" customHeight="1" x14ac:dyDescent="0.25">
      <c r="A43" s="420"/>
      <c r="B43" s="421"/>
      <c r="C43" s="409" t="s">
        <v>851</v>
      </c>
      <c r="D43" s="436"/>
      <c r="E43" s="441"/>
      <c r="F43" s="442"/>
      <c r="G43" s="430"/>
      <c r="H43" s="482"/>
      <c r="I43" s="536"/>
      <c r="J43" s="471"/>
    </row>
    <row r="44" spans="1:10" ht="12.75" hidden="1" customHeight="1" x14ac:dyDescent="0.25">
      <c r="A44" s="420"/>
      <c r="B44" s="421"/>
      <c r="C44" s="409" t="s">
        <v>981</v>
      </c>
      <c r="D44" s="436"/>
      <c r="E44" s="441"/>
      <c r="F44" s="442"/>
      <c r="G44" s="430"/>
      <c r="H44" s="482"/>
      <c r="I44" s="536"/>
      <c r="J44" s="471"/>
    </row>
    <row r="45" spans="1:10" ht="12.75" hidden="1" customHeight="1" x14ac:dyDescent="0.25">
      <c r="A45" s="420"/>
      <c r="B45" s="421"/>
      <c r="C45" s="409" t="s">
        <v>982</v>
      </c>
      <c r="D45" s="436"/>
      <c r="E45" s="441"/>
      <c r="F45" s="442"/>
      <c r="G45" s="430"/>
      <c r="H45" s="482"/>
      <c r="I45" s="536"/>
      <c r="J45" s="471"/>
    </row>
    <row r="46" spans="1:10" ht="12.75" hidden="1" customHeight="1" x14ac:dyDescent="0.25">
      <c r="A46" s="420"/>
      <c r="B46" s="421"/>
      <c r="C46" s="409" t="s">
        <v>983</v>
      </c>
      <c r="D46" s="436"/>
      <c r="E46" s="415"/>
      <c r="F46" s="442"/>
      <c r="G46" s="430"/>
      <c r="H46" s="482"/>
      <c r="I46" s="536"/>
      <c r="J46" s="471"/>
    </row>
    <row r="47" spans="1:10" ht="12.75" hidden="1" customHeight="1" thickBot="1" x14ac:dyDescent="0.3">
      <c r="A47" s="420"/>
      <c r="B47" s="428"/>
      <c r="C47" s="435"/>
      <c r="D47" s="436"/>
      <c r="E47" s="415"/>
      <c r="F47" s="443">
        <f>SUM(F43:F46)</f>
        <v>0</v>
      </c>
      <c r="G47" s="437"/>
      <c r="H47" s="484"/>
      <c r="J47" s="471"/>
    </row>
    <row r="48" spans="1:10" ht="12.75" customHeight="1" x14ac:dyDescent="0.25">
      <c r="A48" s="420"/>
      <c r="B48" s="428"/>
      <c r="C48" s="435"/>
      <c r="D48" s="436"/>
      <c r="E48" s="415"/>
      <c r="F48" s="444"/>
      <c r="G48" s="437"/>
      <c r="H48" s="484"/>
      <c r="I48" s="538"/>
      <c r="J48" s="534"/>
    </row>
    <row r="49" spans="1:10" ht="15" customHeight="1" x14ac:dyDescent="0.25">
      <c r="A49" s="420"/>
      <c r="B49" s="421" t="s">
        <v>501</v>
      </c>
      <c r="C49" s="415"/>
      <c r="D49" s="415"/>
      <c r="E49" s="428"/>
      <c r="F49" s="428"/>
      <c r="G49" s="424"/>
      <c r="H49" s="485">
        <f>SUM(H7:H47)</f>
        <v>4173000</v>
      </c>
      <c r="I49" s="537">
        <f>IF(H49&lt;&gt;0,0,"NIL")</f>
        <v>0</v>
      </c>
      <c r="J49" s="472"/>
    </row>
    <row r="50" spans="1:10" ht="15" customHeight="1" x14ac:dyDescent="0.25">
      <c r="A50" s="420"/>
      <c r="B50" s="445" t="s">
        <v>999</v>
      </c>
      <c r="C50" s="415"/>
      <c r="D50" s="415"/>
      <c r="E50" s="415"/>
      <c r="F50" s="415"/>
      <c r="G50" s="415"/>
      <c r="H50" s="482"/>
      <c r="I50" s="536"/>
      <c r="J50" s="471"/>
    </row>
    <row r="51" spans="1:10" ht="12.75" customHeight="1" x14ac:dyDescent="0.25">
      <c r="A51" s="420"/>
      <c r="B51" s="446"/>
      <c r="C51" s="435" t="s">
        <v>1080</v>
      </c>
      <c r="D51" s="415"/>
      <c r="E51" s="415"/>
      <c r="F51" s="415"/>
      <c r="G51" s="423"/>
      <c r="H51" s="482"/>
      <c r="I51" s="536"/>
      <c r="J51" s="471"/>
    </row>
    <row r="52" spans="1:10" ht="12.75" hidden="1" customHeight="1" x14ac:dyDescent="0.25">
      <c r="A52" s="420"/>
      <c r="B52" s="446"/>
      <c r="C52" s="431" t="s">
        <v>510</v>
      </c>
      <c r="D52" s="415"/>
      <c r="E52" s="415"/>
      <c r="F52" s="411"/>
      <c r="G52" s="423"/>
      <c r="H52" s="482"/>
      <c r="I52" s="536"/>
      <c r="J52" s="471"/>
    </row>
    <row r="53" spans="1:10" ht="12.75" hidden="1" customHeight="1" x14ac:dyDescent="0.25">
      <c r="A53" s="420"/>
      <c r="B53" s="446"/>
      <c r="C53" s="431" t="s">
        <v>1081</v>
      </c>
      <c r="D53" s="415"/>
      <c r="E53" s="415"/>
      <c r="F53" s="411"/>
      <c r="G53" s="423"/>
      <c r="H53" s="482"/>
      <c r="I53" s="536"/>
      <c r="J53" s="471"/>
    </row>
    <row r="54" spans="1:10" ht="12.75" hidden="1" customHeight="1" x14ac:dyDescent="0.25">
      <c r="A54" s="420"/>
      <c r="B54" s="446"/>
      <c r="C54" s="431" t="s">
        <v>985</v>
      </c>
      <c r="D54" s="415"/>
      <c r="E54" s="415"/>
      <c r="F54" s="411"/>
      <c r="G54" s="423"/>
      <c r="H54" s="482"/>
      <c r="I54" s="536"/>
      <c r="J54" s="471"/>
    </row>
    <row r="55" spans="1:10" ht="12.75" hidden="1" customHeight="1" x14ac:dyDescent="0.25">
      <c r="A55" s="420"/>
      <c r="B55" s="446"/>
      <c r="C55" s="431" t="s">
        <v>984</v>
      </c>
      <c r="D55" s="415"/>
      <c r="E55" s="415"/>
      <c r="F55" s="411"/>
      <c r="G55" s="423"/>
      <c r="H55" s="482"/>
      <c r="I55" s="536"/>
      <c r="J55" s="471"/>
    </row>
    <row r="56" spans="1:10" ht="12.75" customHeight="1" x14ac:dyDescent="0.25">
      <c r="A56" s="420"/>
      <c r="B56" s="446"/>
      <c r="C56" s="431" t="s">
        <v>1149</v>
      </c>
      <c r="D56" s="415"/>
      <c r="E56" s="415"/>
      <c r="F56" s="411">
        <v>20000</v>
      </c>
      <c r="G56" s="423"/>
      <c r="H56" s="482"/>
      <c r="I56" s="536"/>
      <c r="J56" s="471"/>
    </row>
    <row r="57" spans="1:10" ht="12.75" customHeight="1" x14ac:dyDescent="0.25">
      <c r="A57" s="420"/>
      <c r="B57" s="446"/>
      <c r="C57" s="431" t="s">
        <v>509</v>
      </c>
      <c r="D57" s="415"/>
      <c r="E57" s="415"/>
      <c r="F57" s="411">
        <v>110000</v>
      </c>
      <c r="G57" s="423"/>
      <c r="H57" s="482"/>
      <c r="I57" s="536"/>
      <c r="J57" s="471"/>
    </row>
    <row r="58" spans="1:10" ht="12.75" hidden="1" customHeight="1" x14ac:dyDescent="0.25">
      <c r="A58" s="420"/>
      <c r="B58" s="446"/>
      <c r="C58" s="431" t="s">
        <v>986</v>
      </c>
      <c r="D58" s="415"/>
      <c r="E58" s="415"/>
      <c r="F58" s="411"/>
      <c r="G58" s="423"/>
      <c r="H58" s="482"/>
      <c r="I58" s="536"/>
      <c r="J58" s="471"/>
    </row>
    <row r="59" spans="1:10" ht="12.75" hidden="1" customHeight="1" x14ac:dyDescent="0.25">
      <c r="A59" s="420"/>
      <c r="B59" s="446"/>
      <c r="C59" s="431" t="s">
        <v>987</v>
      </c>
      <c r="D59" s="415"/>
      <c r="E59" s="415"/>
      <c r="F59" s="411"/>
      <c r="G59" s="423"/>
      <c r="H59" s="482"/>
      <c r="I59" s="536"/>
      <c r="J59" s="471"/>
    </row>
    <row r="60" spans="1:10" ht="12.75" hidden="1" customHeight="1" x14ac:dyDescent="0.25">
      <c r="A60" s="420"/>
      <c r="B60" s="446"/>
      <c r="C60" s="431" t="s">
        <v>988</v>
      </c>
      <c r="D60" s="415"/>
      <c r="E60" s="415"/>
      <c r="F60" s="411"/>
      <c r="G60" s="423"/>
      <c r="H60" s="482"/>
      <c r="I60" s="536"/>
      <c r="J60" s="471"/>
    </row>
    <row r="61" spans="1:10" ht="12.75" hidden="1" customHeight="1" x14ac:dyDescent="0.25">
      <c r="A61" s="420"/>
      <c r="B61" s="446"/>
      <c r="C61" s="431" t="s">
        <v>989</v>
      </c>
      <c r="D61" s="415"/>
      <c r="E61" s="415"/>
      <c r="F61" s="411"/>
      <c r="G61" s="423"/>
      <c r="H61" s="482"/>
      <c r="I61" s="536"/>
      <c r="J61" s="471"/>
    </row>
    <row r="62" spans="1:10" ht="15" customHeight="1" x14ac:dyDescent="0.25">
      <c r="A62" s="420"/>
      <c r="B62" s="446"/>
      <c r="C62" s="431"/>
      <c r="D62" s="415"/>
      <c r="E62" s="415"/>
      <c r="F62" s="448">
        <f>SUM(F56:F61)</f>
        <v>130000</v>
      </c>
      <c r="G62" s="415">
        <f>IF(F62&gt;150000,150000,F62)</f>
        <v>130000</v>
      </c>
      <c r="H62" s="482"/>
      <c r="I62" s="536"/>
      <c r="J62" s="471"/>
    </row>
    <row r="63" spans="1:10" ht="15" customHeight="1" x14ac:dyDescent="0.25">
      <c r="A63" s="420"/>
      <c r="B63" s="446"/>
      <c r="C63" s="449" t="s">
        <v>1079</v>
      </c>
      <c r="D63" s="415"/>
      <c r="E63" s="415"/>
      <c r="F63" s="450"/>
      <c r="G63" s="411">
        <v>50000</v>
      </c>
      <c r="H63" s="482"/>
      <c r="I63" s="536"/>
      <c r="J63" s="471"/>
    </row>
    <row r="64" spans="1:10" ht="15" customHeight="1" x14ac:dyDescent="0.25">
      <c r="A64" s="420"/>
      <c r="B64" s="446"/>
      <c r="C64" s="449" t="s">
        <v>852</v>
      </c>
      <c r="D64" s="408">
        <v>27000</v>
      </c>
      <c r="E64" s="415"/>
      <c r="F64" s="450"/>
      <c r="G64" s="411">
        <f>25000</f>
        <v>25000</v>
      </c>
      <c r="H64" s="482"/>
      <c r="I64" s="536"/>
      <c r="J64" s="471"/>
    </row>
    <row r="65" spans="1:13" ht="15" customHeight="1" x14ac:dyDescent="0.25">
      <c r="A65" s="420"/>
      <c r="B65" s="446"/>
      <c r="C65" s="449" t="s">
        <v>852</v>
      </c>
      <c r="D65" s="408"/>
      <c r="E65" s="415"/>
      <c r="F65" s="450"/>
      <c r="G65" s="411">
        <v>5000</v>
      </c>
      <c r="H65" s="482"/>
      <c r="I65" s="536"/>
      <c r="J65" s="471"/>
    </row>
    <row r="66" spans="1:13" ht="15" customHeight="1" x14ac:dyDescent="0.25">
      <c r="A66" s="420"/>
      <c r="B66" s="446"/>
      <c r="C66" s="449" t="s">
        <v>1216</v>
      </c>
      <c r="D66" s="415"/>
      <c r="E66" s="415" t="s">
        <v>1225</v>
      </c>
      <c r="F66" s="415"/>
      <c r="G66" s="411"/>
      <c r="H66" s="482"/>
      <c r="I66" s="536"/>
      <c r="J66" s="471"/>
    </row>
    <row r="67" spans="1:13" ht="15" customHeight="1" x14ac:dyDescent="0.25">
      <c r="A67" s="420"/>
      <c r="B67" s="415"/>
      <c r="C67" s="676" t="s">
        <v>979</v>
      </c>
      <c r="D67" s="415"/>
      <c r="E67" s="428"/>
      <c r="F67" s="428"/>
      <c r="G67" s="447">
        <f>IF(G31&gt;10000, 10000, G31)</f>
        <v>0</v>
      </c>
      <c r="H67" s="482"/>
      <c r="I67" s="536"/>
      <c r="J67" s="471"/>
      <c r="L67" s="675"/>
    </row>
    <row r="68" spans="1:13" x14ac:dyDescent="0.25">
      <c r="A68" s="420"/>
      <c r="B68" s="415"/>
      <c r="C68" s="543" t="s">
        <v>853</v>
      </c>
      <c r="D68" s="415"/>
      <c r="E68" s="428"/>
      <c r="F68" s="428"/>
      <c r="G68" s="411"/>
      <c r="H68" s="482">
        <f>SUM(G62:G68)</f>
        <v>210000</v>
      </c>
      <c r="I68" s="537">
        <f>IF(H68&lt;&gt;0,0,"NIL")</f>
        <v>0</v>
      </c>
      <c r="J68" s="472"/>
    </row>
    <row r="69" spans="1:13" ht="15.75" customHeight="1" thickBot="1" x14ac:dyDescent="0.3">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x14ac:dyDescent="0.25">
      <c r="A70" s="420"/>
      <c r="B70" s="450" t="s">
        <v>778</v>
      </c>
      <c r="C70" s="415"/>
      <c r="D70" s="415"/>
      <c r="E70" s="444" t="s">
        <v>521</v>
      </c>
      <c r="F70" s="454" t="s">
        <v>522</v>
      </c>
      <c r="G70" s="444" t="s">
        <v>524</v>
      </c>
      <c r="H70" s="487"/>
      <c r="J70" s="471"/>
    </row>
    <row r="71" spans="1:13" ht="15" customHeight="1" x14ac:dyDescent="0.25">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x14ac:dyDescent="0.25">
      <c r="A72" s="420"/>
      <c r="B72" s="450"/>
      <c r="C72" s="408" t="s">
        <v>518</v>
      </c>
      <c r="D72" s="415"/>
      <c r="E72" s="410"/>
      <c r="F72" s="457">
        <v>0.15</v>
      </c>
      <c r="G72" s="523"/>
      <c r="H72" s="484"/>
      <c r="J72" s="471"/>
    </row>
    <row r="73" spans="1:13" ht="15" hidden="1" customHeight="1" x14ac:dyDescent="0.25">
      <c r="A73" s="420"/>
      <c r="B73" s="415"/>
      <c r="C73" s="408" t="s">
        <v>518</v>
      </c>
      <c r="D73" s="456"/>
      <c r="E73" s="428"/>
      <c r="F73" s="415"/>
      <c r="G73" s="526">
        <f>G71+G72</f>
        <v>296700</v>
      </c>
      <c r="H73" s="488"/>
      <c r="I73" s="537"/>
      <c r="J73" s="472"/>
    </row>
    <row r="74" spans="1:13" ht="15" customHeight="1" x14ac:dyDescent="0.25">
      <c r="A74" s="420"/>
      <c r="B74" s="415"/>
      <c r="C74" s="408" t="s">
        <v>519</v>
      </c>
      <c r="D74" s="456"/>
      <c r="E74" s="684">
        <f>+H29</f>
        <v>2374000</v>
      </c>
      <c r="F74" s="678">
        <v>0.1</v>
      </c>
      <c r="G74" s="526">
        <f>ROUND(E74*F74,0)</f>
        <v>237400</v>
      </c>
      <c r="H74" s="488"/>
      <c r="I74" s="537"/>
      <c r="J74" s="472"/>
    </row>
    <row r="75" spans="1:13" ht="15" hidden="1" customHeight="1" x14ac:dyDescent="0.25">
      <c r="A75" s="420"/>
      <c r="B75" s="415"/>
      <c r="C75" s="408"/>
      <c r="D75" s="456"/>
      <c r="E75" s="684"/>
      <c r="F75" s="678"/>
      <c r="G75" s="526">
        <f>ROUND(E75*F75,0)</f>
        <v>0</v>
      </c>
      <c r="H75" s="488"/>
      <c r="I75" s="537"/>
      <c r="J75" s="472"/>
    </row>
    <row r="76" spans="1:13" ht="15" customHeight="1" x14ac:dyDescent="0.25">
      <c r="A76" s="420"/>
      <c r="C76" s="524"/>
      <c r="D76" s="456"/>
      <c r="E76" s="428"/>
      <c r="F76" s="415"/>
      <c r="G76" s="527">
        <f>IF(H69&gt;500000,0,IF(G73&gt;2000,2000,G73))</f>
        <v>0</v>
      </c>
      <c r="H76" s="489">
        <f>G73+G74</f>
        <v>534100</v>
      </c>
      <c r="I76" s="537">
        <f>IF(H76&lt;&gt;0,0,"NIL")</f>
        <v>0</v>
      </c>
      <c r="J76" s="472"/>
    </row>
    <row r="77" spans="1:13" ht="15" customHeight="1" x14ac:dyDescent="0.25">
      <c r="A77" s="420"/>
      <c r="B77" s="408" t="s">
        <v>774</v>
      </c>
      <c r="C77" s="415"/>
      <c r="D77" s="456"/>
      <c r="E77" s="428"/>
      <c r="F77" s="415"/>
      <c r="G77" s="428"/>
      <c r="H77" s="489">
        <f>ROUND((H76)*0.02,0)</f>
        <v>10682</v>
      </c>
      <c r="I77" s="537">
        <f>IF(H77&lt;&gt;0,0,"NIL")</f>
        <v>0</v>
      </c>
      <c r="J77" s="472"/>
    </row>
    <row r="78" spans="1:13" ht="15" customHeight="1" x14ac:dyDescent="0.25">
      <c r="A78" s="420"/>
      <c r="B78" s="408" t="s">
        <v>775</v>
      </c>
      <c r="C78" s="415"/>
      <c r="D78" s="456"/>
      <c r="E78" s="458"/>
      <c r="F78" s="415"/>
      <c r="G78" s="428"/>
      <c r="H78" s="528">
        <f>ROUND((H76)*0.01,0)</f>
        <v>5341</v>
      </c>
      <c r="I78" s="540">
        <f>IF(H78&lt;&gt;0,0,"NIL")</f>
        <v>0</v>
      </c>
      <c r="J78" s="474"/>
    </row>
    <row r="79" spans="1:13" ht="15" customHeight="1" x14ac:dyDescent="0.25">
      <c r="A79" s="420"/>
      <c r="B79" s="450" t="s">
        <v>565</v>
      </c>
      <c r="C79" s="415"/>
      <c r="D79" s="456"/>
      <c r="E79" s="458"/>
      <c r="F79" s="415"/>
      <c r="G79" s="428"/>
      <c r="H79" s="488">
        <f>SUM(H76:H78)</f>
        <v>550123</v>
      </c>
      <c r="I79" s="537"/>
      <c r="J79" s="472"/>
    </row>
    <row r="80" spans="1:13" ht="15" hidden="1" customHeight="1" x14ac:dyDescent="0.25">
      <c r="A80" s="420"/>
      <c r="B80" s="427"/>
      <c r="C80" s="428"/>
      <c r="D80" s="428"/>
      <c r="E80" s="428"/>
      <c r="F80" s="428"/>
      <c r="G80" s="428"/>
      <c r="H80" s="528"/>
      <c r="I80" s="540"/>
      <c r="J80" s="473"/>
    </row>
    <row r="81" spans="1:11" ht="15" hidden="1" customHeight="1" x14ac:dyDescent="0.25">
      <c r="A81" s="420"/>
      <c r="B81" s="450"/>
      <c r="C81" s="428"/>
      <c r="D81" s="428"/>
      <c r="E81" s="428"/>
      <c r="F81" s="428"/>
      <c r="G81" s="428"/>
      <c r="H81" s="491">
        <f>H79+H80</f>
        <v>550123</v>
      </c>
      <c r="I81" s="537"/>
      <c r="J81" s="472"/>
    </row>
    <row r="82" spans="1:11" ht="15" customHeight="1" x14ac:dyDescent="0.25">
      <c r="A82" s="420"/>
      <c r="B82" s="415" t="s">
        <v>1202</v>
      </c>
      <c r="C82" s="428"/>
      <c r="D82" s="428"/>
      <c r="E82" s="428"/>
      <c r="F82" s="428"/>
      <c r="G82" s="428"/>
      <c r="H82" s="492">
        <f>ROUND(H79*12/100,0)*0</f>
        <v>0</v>
      </c>
      <c r="I82" s="540" t="str">
        <f>IF(H82&lt;&gt;0,0,"NIL")</f>
        <v>NIL</v>
      </c>
      <c r="J82" s="473"/>
    </row>
    <row r="83" spans="1:11" ht="15" customHeight="1" x14ac:dyDescent="0.25">
      <c r="A83" s="420"/>
      <c r="B83" s="450" t="s">
        <v>768</v>
      </c>
      <c r="C83" s="428"/>
      <c r="D83" s="428"/>
      <c r="E83" s="428"/>
      <c r="F83" s="428"/>
      <c r="G83" s="428"/>
      <c r="H83" s="490">
        <f>H81+H82</f>
        <v>550123</v>
      </c>
      <c r="I83" s="537">
        <f>IF(H83&lt;&gt;0,0,"NIL")</f>
        <v>0</v>
      </c>
      <c r="J83" s="472"/>
    </row>
    <row r="84" spans="1:11" ht="15" customHeight="1" x14ac:dyDescent="0.25">
      <c r="A84" s="420"/>
      <c r="B84" s="421" t="s">
        <v>571</v>
      </c>
      <c r="C84" s="428"/>
      <c r="D84" s="428"/>
      <c r="E84" s="428"/>
      <c r="F84" s="428"/>
      <c r="G84" s="428"/>
      <c r="H84" s="490"/>
      <c r="I84" s="537"/>
      <c r="J84" s="471"/>
    </row>
    <row r="85" spans="1:11" ht="15" customHeight="1" x14ac:dyDescent="0.3">
      <c r="A85" s="420"/>
      <c r="B85" s="667"/>
      <c r="C85" s="1340" t="s">
        <v>993</v>
      </c>
      <c r="D85" s="1340"/>
      <c r="E85" s="1340"/>
      <c r="F85" s="1340"/>
      <c r="G85" s="447">
        <v>5000</v>
      </c>
      <c r="H85" s="482"/>
      <c r="I85" s="536"/>
      <c r="J85" s="472"/>
    </row>
    <row r="86" spans="1:11" ht="15" customHeight="1" x14ac:dyDescent="0.3">
      <c r="A86" s="420"/>
      <c r="B86" s="588">
        <f>SUM(G85:G86)</f>
        <v>132000</v>
      </c>
      <c r="C86" s="1340" t="s">
        <v>1180</v>
      </c>
      <c r="D86" s="1340"/>
      <c r="E86" s="1340"/>
      <c r="F86" s="1340"/>
      <c r="G86" s="410">
        <v>127000</v>
      </c>
      <c r="H86" s="482"/>
      <c r="I86" s="536"/>
      <c r="J86" s="472"/>
    </row>
    <row r="87" spans="1:11" ht="12.75" customHeight="1" thickBot="1" x14ac:dyDescent="0.35">
      <c r="A87" s="414"/>
      <c r="B87" s="477"/>
      <c r="C87" s="1342" t="s">
        <v>1229</v>
      </c>
      <c r="D87" s="1342"/>
      <c r="E87" s="1342"/>
      <c r="F87" s="1342"/>
      <c r="G87" s="481">
        <f>36000+382123</f>
        <v>418123</v>
      </c>
      <c r="H87" s="493">
        <f>SUM(G85:G87)</f>
        <v>550123</v>
      </c>
      <c r="I87" s="541">
        <f>IF(H87&lt;&gt;0,0,"NIL")</f>
        <v>0</v>
      </c>
      <c r="J87" s="478"/>
    </row>
    <row r="88" spans="1:11" ht="18" customHeight="1" thickBot="1" x14ac:dyDescent="0.3">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x14ac:dyDescent="0.25">
      <c r="A89" s="567"/>
      <c r="B89" s="570"/>
      <c r="C89" s="570"/>
      <c r="D89" s="570"/>
      <c r="E89" s="570"/>
      <c r="F89" s="570"/>
      <c r="G89" s="570"/>
      <c r="H89" s="570"/>
      <c r="I89" s="568"/>
      <c r="J89" s="569"/>
      <c r="K89" s="554"/>
    </row>
    <row r="90" spans="1:11" x14ac:dyDescent="0.25">
      <c r="A90" s="567"/>
      <c r="B90" s="554"/>
      <c r="C90" s="554"/>
      <c r="D90" s="554"/>
      <c r="E90" s="554"/>
      <c r="F90" s="554"/>
      <c r="G90" s="554"/>
      <c r="H90" s="554"/>
      <c r="I90" s="568"/>
      <c r="J90" s="569"/>
      <c r="K90" s="554"/>
    </row>
    <row r="91" spans="1:11" x14ac:dyDescent="0.25">
      <c r="A91" s="567"/>
      <c r="B91" s="554"/>
      <c r="C91" s="554"/>
      <c r="D91" s="554"/>
      <c r="E91" s="554"/>
      <c r="F91" s="554"/>
      <c r="G91" s="554"/>
      <c r="H91" s="554"/>
      <c r="I91" s="568"/>
      <c r="J91" s="569"/>
      <c r="K91" s="554"/>
    </row>
    <row r="92" spans="1:11" x14ac:dyDescent="0.25">
      <c r="A92" s="567"/>
      <c r="B92" s="554"/>
      <c r="C92" s="554"/>
      <c r="D92" s="554"/>
      <c r="E92" s="554"/>
      <c r="F92" s="554"/>
      <c r="G92" s="554"/>
      <c r="H92" s="554"/>
      <c r="I92" s="568"/>
      <c r="J92" s="569"/>
      <c r="K92" s="554"/>
    </row>
    <row r="93" spans="1:11" x14ac:dyDescent="0.25">
      <c r="A93" s="567"/>
      <c r="B93" s="554"/>
      <c r="C93" s="554"/>
      <c r="D93" s="554"/>
      <c r="E93" s="554"/>
      <c r="F93" s="554"/>
      <c r="G93" s="554"/>
      <c r="H93" s="554"/>
      <c r="I93" s="568"/>
      <c r="J93" s="569"/>
      <c r="K93" s="554"/>
    </row>
    <row r="94" spans="1:11" x14ac:dyDescent="0.25">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xr:uid="{00000000-0002-0000-0C00-000000000000}">
      <formula1>"ICICI PRUDENTIAL PREM, BAJAJ ALLIANZ LIFE INSURANCE PREM., LIC  PREMIUM, ULIP PREMIUM"</formula1>
    </dataValidation>
    <dataValidation type="list" errorStyle="information" allowBlank="1" showInputMessage="1" showErrorMessage="1" sqref="D4:D6" xr:uid="{00000000-0002-0000-0C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activeCell="H34" sqref="H34"/>
    </sheetView>
  </sheetViews>
  <sheetFormatPr defaultRowHeight="30" customHeight="1" x14ac:dyDescent="0.25"/>
  <cols>
    <col min="1" max="1" width="7" style="58" customWidth="1"/>
    <col min="2" max="2" width="29.44140625" customWidth="1"/>
    <col min="3" max="3" width="20.5546875" customWidth="1"/>
    <col min="4" max="4" width="19.33203125" customWidth="1"/>
    <col min="5" max="5" width="25.44140625" customWidth="1"/>
    <col min="6" max="6" width="16.44140625" customWidth="1"/>
    <col min="7" max="7" width="20" customWidth="1"/>
  </cols>
  <sheetData>
    <row r="1" spans="1:7" ht="30" customHeight="1" x14ac:dyDescent="0.25">
      <c r="A1" s="1343" t="s">
        <v>1397</v>
      </c>
      <c r="B1" s="1343"/>
      <c r="C1" s="1343"/>
      <c r="D1" s="1343"/>
      <c r="E1" s="1343"/>
      <c r="F1" s="1343"/>
      <c r="G1" s="1343"/>
    </row>
    <row r="2" spans="1:7" ht="30" customHeight="1" x14ac:dyDescent="0.25">
      <c r="A2" s="752" t="s">
        <v>1393</v>
      </c>
      <c r="B2" s="752" t="s">
        <v>1095</v>
      </c>
      <c r="C2" s="752" t="s">
        <v>1297</v>
      </c>
      <c r="D2" s="752" t="s">
        <v>1106</v>
      </c>
      <c r="E2" s="752" t="s">
        <v>1394</v>
      </c>
      <c r="F2" s="753" t="s">
        <v>1395</v>
      </c>
      <c r="G2" s="752" t="s">
        <v>1396</v>
      </c>
    </row>
    <row r="3" spans="1:7" ht="30" customHeight="1" x14ac:dyDescent="0.25">
      <c r="A3" s="755">
        <v>1</v>
      </c>
      <c r="B3" s="754"/>
      <c r="C3" s="754"/>
      <c r="D3" s="754"/>
      <c r="E3" s="754"/>
      <c r="F3" s="754"/>
      <c r="G3" s="754"/>
    </row>
    <row r="4" spans="1:7" ht="30" customHeight="1" x14ac:dyDescent="0.25">
      <c r="A4" s="755">
        <v>2</v>
      </c>
      <c r="B4" s="754"/>
      <c r="C4" s="754"/>
      <c r="D4" s="754"/>
      <c r="E4" s="754"/>
      <c r="F4" s="754"/>
      <c r="G4" s="754"/>
    </row>
    <row r="5" spans="1:7" ht="30" customHeight="1" x14ac:dyDescent="0.25">
      <c r="A5" s="755">
        <v>3</v>
      </c>
      <c r="B5" s="754"/>
      <c r="C5" s="754"/>
      <c r="D5" s="754"/>
      <c r="E5" s="754"/>
      <c r="F5" s="754"/>
      <c r="G5" s="754"/>
    </row>
    <row r="6" spans="1:7" ht="30" customHeight="1" x14ac:dyDescent="0.25">
      <c r="A6" s="755">
        <v>4</v>
      </c>
      <c r="B6" s="754"/>
      <c r="C6" s="754"/>
      <c r="D6" s="754"/>
      <c r="E6" s="754"/>
      <c r="F6" s="754"/>
      <c r="G6" s="754"/>
    </row>
    <row r="7" spans="1:7" ht="30" customHeight="1" x14ac:dyDescent="0.25">
      <c r="A7" s="755">
        <v>5</v>
      </c>
      <c r="B7" s="754"/>
      <c r="C7" s="754"/>
      <c r="D7" s="754"/>
      <c r="E7" s="754"/>
      <c r="F7" s="754"/>
      <c r="G7" s="754"/>
    </row>
    <row r="8" spans="1:7" ht="30" customHeight="1" x14ac:dyDescent="0.25">
      <c r="A8" s="755">
        <v>6</v>
      </c>
      <c r="B8" s="754"/>
      <c r="C8" s="754"/>
      <c r="D8" s="754"/>
      <c r="E8" s="754"/>
      <c r="F8" s="754"/>
      <c r="G8" s="754"/>
    </row>
    <row r="9" spans="1:7" ht="30" customHeight="1" x14ac:dyDescent="0.25">
      <c r="A9" s="755">
        <v>7</v>
      </c>
      <c r="B9" s="754"/>
      <c r="C9" s="754"/>
      <c r="D9" s="754"/>
      <c r="E9" s="754"/>
      <c r="F9" s="754"/>
      <c r="G9" s="754"/>
    </row>
    <row r="10" spans="1:7" ht="30" customHeight="1" x14ac:dyDescent="0.25">
      <c r="A10" s="755">
        <v>8</v>
      </c>
      <c r="B10" s="754"/>
      <c r="C10" s="754"/>
      <c r="D10" s="754"/>
      <c r="E10" s="754"/>
      <c r="F10" s="754"/>
      <c r="G10" s="754"/>
    </row>
    <row r="11" spans="1:7" ht="30" customHeight="1" x14ac:dyDescent="0.25">
      <c r="A11" s="755">
        <v>9</v>
      </c>
      <c r="B11" s="754"/>
      <c r="C11" s="754"/>
      <c r="D11" s="754"/>
      <c r="E11" s="754"/>
      <c r="F11" s="754"/>
      <c r="G11" s="754"/>
    </row>
    <row r="12" spans="1:7" ht="30" customHeight="1" x14ac:dyDescent="0.25">
      <c r="A12" s="755">
        <v>10</v>
      </c>
      <c r="B12" s="754"/>
      <c r="C12" s="754"/>
      <c r="D12" s="754"/>
      <c r="E12" s="754"/>
      <c r="F12" s="754"/>
      <c r="G12" s="754"/>
    </row>
    <row r="13" spans="1:7" ht="30" customHeight="1" x14ac:dyDescent="0.25">
      <c r="A13" s="755">
        <v>11</v>
      </c>
      <c r="B13" s="754"/>
      <c r="C13" s="754"/>
      <c r="D13" s="754"/>
      <c r="E13" s="754"/>
      <c r="F13" s="754"/>
      <c r="G13" s="754"/>
    </row>
    <row r="14" spans="1:7" ht="30" customHeight="1" x14ac:dyDescent="0.25">
      <c r="A14" s="755">
        <v>12</v>
      </c>
      <c r="B14" s="754"/>
      <c r="C14" s="754"/>
      <c r="D14" s="754"/>
      <c r="E14" s="754"/>
      <c r="F14" s="754"/>
      <c r="G14" s="754"/>
    </row>
    <row r="15" spans="1:7" ht="30" customHeight="1" x14ac:dyDescent="0.25">
      <c r="A15" s="755">
        <v>13</v>
      </c>
      <c r="B15" s="754"/>
      <c r="C15" s="754"/>
      <c r="D15" s="754"/>
      <c r="E15" s="754"/>
      <c r="F15" s="754"/>
      <c r="G15" s="754"/>
    </row>
    <row r="16" spans="1:7" ht="30" customHeight="1" x14ac:dyDescent="0.25">
      <c r="A16" s="755">
        <v>14</v>
      </c>
      <c r="B16" s="754"/>
      <c r="C16" s="754"/>
      <c r="D16" s="754"/>
      <c r="E16" s="754"/>
      <c r="F16" s="754"/>
      <c r="G16" s="754"/>
    </row>
    <row r="17" spans="1:7" ht="30" customHeight="1" x14ac:dyDescent="0.25">
      <c r="A17" s="755">
        <v>15</v>
      </c>
      <c r="B17" s="754"/>
      <c r="C17" s="754"/>
      <c r="D17" s="754"/>
      <c r="E17" s="754"/>
      <c r="F17" s="754"/>
      <c r="G17" s="754"/>
    </row>
    <row r="18" spans="1:7" ht="30" customHeight="1" x14ac:dyDescent="0.25">
      <c r="A18" s="755">
        <v>16</v>
      </c>
      <c r="B18" s="754"/>
      <c r="C18" s="754"/>
      <c r="D18" s="754"/>
      <c r="E18" s="754"/>
      <c r="F18" s="754"/>
      <c r="G18" s="754"/>
    </row>
    <row r="19" spans="1:7" ht="30" customHeight="1" x14ac:dyDescent="0.25">
      <c r="A19" s="755">
        <v>17</v>
      </c>
      <c r="B19" s="754"/>
      <c r="C19" s="754"/>
      <c r="D19" s="754"/>
      <c r="E19" s="754"/>
      <c r="F19" s="754"/>
      <c r="G19" s="754"/>
    </row>
    <row r="20" spans="1:7" ht="30" customHeight="1" x14ac:dyDescent="0.25">
      <c r="A20" s="1343" t="s">
        <v>1397</v>
      </c>
      <c r="B20" s="1343"/>
      <c r="C20" s="1343"/>
      <c r="D20" s="1343"/>
      <c r="E20" s="1343"/>
      <c r="F20" s="1343"/>
      <c r="G20" s="1343"/>
    </row>
    <row r="21" spans="1:7" ht="30" customHeight="1" x14ac:dyDescent="0.25">
      <c r="A21" s="752" t="s">
        <v>1393</v>
      </c>
      <c r="B21" s="752" t="s">
        <v>1095</v>
      </c>
      <c r="C21" s="752" t="s">
        <v>1297</v>
      </c>
      <c r="D21" s="752" t="s">
        <v>1106</v>
      </c>
      <c r="E21" s="752" t="s">
        <v>1394</v>
      </c>
      <c r="F21" s="753" t="s">
        <v>1395</v>
      </c>
      <c r="G21" s="752" t="s">
        <v>1396</v>
      </c>
    </row>
    <row r="22" spans="1:7" ht="30" customHeight="1" x14ac:dyDescent="0.25">
      <c r="A22" s="755">
        <v>18</v>
      </c>
      <c r="B22" s="754"/>
      <c r="C22" s="754"/>
      <c r="D22" s="754"/>
      <c r="E22" s="754"/>
      <c r="F22" s="754"/>
      <c r="G22" s="754"/>
    </row>
    <row r="23" spans="1:7" ht="30" customHeight="1" x14ac:dyDescent="0.25">
      <c r="A23" s="755">
        <v>19</v>
      </c>
      <c r="B23" s="754"/>
      <c r="C23" s="754"/>
      <c r="D23" s="754"/>
      <c r="E23" s="754"/>
      <c r="F23" s="754"/>
      <c r="G23" s="754"/>
    </row>
    <row r="24" spans="1:7" ht="30" customHeight="1" x14ac:dyDescent="0.25">
      <c r="A24" s="755">
        <v>20</v>
      </c>
      <c r="B24" s="754"/>
      <c r="C24" s="754"/>
      <c r="D24" s="754"/>
      <c r="E24" s="754"/>
      <c r="F24" s="754"/>
      <c r="G24" s="754"/>
    </row>
    <row r="25" spans="1:7" ht="30" customHeight="1" x14ac:dyDescent="0.25">
      <c r="A25" s="755">
        <v>21</v>
      </c>
      <c r="B25" s="754"/>
      <c r="C25" s="754"/>
      <c r="D25" s="754"/>
      <c r="E25" s="754"/>
      <c r="F25" s="754"/>
      <c r="G25" s="754"/>
    </row>
    <row r="26" spans="1:7" ht="30" customHeight="1" x14ac:dyDescent="0.25">
      <c r="A26" s="755">
        <v>22</v>
      </c>
      <c r="B26" s="754"/>
      <c r="C26" s="754"/>
      <c r="D26" s="754"/>
      <c r="E26" s="754"/>
      <c r="F26" s="754"/>
      <c r="G26" s="754"/>
    </row>
    <row r="27" spans="1:7" ht="30" customHeight="1" x14ac:dyDescent="0.25">
      <c r="A27" s="755">
        <v>23</v>
      </c>
      <c r="B27" s="754"/>
      <c r="C27" s="754"/>
      <c r="D27" s="754"/>
      <c r="E27" s="754"/>
      <c r="F27" s="754"/>
      <c r="G27" s="754"/>
    </row>
    <row r="28" spans="1:7" ht="30" customHeight="1" x14ac:dyDescent="0.25">
      <c r="A28" s="755">
        <v>24</v>
      </c>
      <c r="B28" s="754"/>
      <c r="C28" s="754"/>
      <c r="D28" s="754"/>
      <c r="E28" s="754"/>
      <c r="F28" s="754"/>
      <c r="G28" s="754"/>
    </row>
    <row r="29" spans="1:7" ht="30" customHeight="1" x14ac:dyDescent="0.25">
      <c r="A29" s="755">
        <v>25</v>
      </c>
      <c r="B29" s="754"/>
      <c r="C29" s="754"/>
      <c r="D29" s="754"/>
      <c r="E29" s="754"/>
      <c r="F29" s="754"/>
      <c r="G29" s="754"/>
    </row>
    <row r="30" spans="1:7" ht="30" customHeight="1" x14ac:dyDescent="0.25">
      <c r="A30" s="755">
        <v>26</v>
      </c>
      <c r="B30" s="754"/>
      <c r="C30" s="754"/>
      <c r="D30" s="754"/>
      <c r="E30" s="754"/>
      <c r="F30" s="754"/>
      <c r="G30" s="754"/>
    </row>
    <row r="31" spans="1:7" ht="30" customHeight="1" x14ac:dyDescent="0.25">
      <c r="A31" s="755">
        <v>27</v>
      </c>
      <c r="B31" s="754"/>
      <c r="C31" s="754"/>
      <c r="D31" s="754"/>
      <c r="E31" s="754"/>
      <c r="F31" s="754"/>
      <c r="G31" s="754"/>
    </row>
    <row r="32" spans="1:7" ht="30" customHeight="1" x14ac:dyDescent="0.25">
      <c r="A32" s="755">
        <v>28</v>
      </c>
      <c r="B32" s="754"/>
      <c r="C32" s="754"/>
      <c r="D32" s="754"/>
      <c r="E32" s="754"/>
      <c r="F32" s="754"/>
      <c r="G32" s="754"/>
    </row>
    <row r="33" spans="1:7" ht="30" customHeight="1" x14ac:dyDescent="0.25">
      <c r="A33" s="755">
        <v>29</v>
      </c>
      <c r="B33" s="754"/>
      <c r="C33" s="754"/>
      <c r="D33" s="754"/>
      <c r="E33" s="754"/>
      <c r="F33" s="754"/>
      <c r="G33" s="754"/>
    </row>
    <row r="34" spans="1:7" ht="30" customHeight="1" x14ac:dyDescent="0.25">
      <c r="A34" s="755">
        <v>30</v>
      </c>
      <c r="B34" s="754"/>
      <c r="C34" s="754"/>
      <c r="D34" s="754"/>
      <c r="E34" s="754"/>
      <c r="F34" s="754"/>
      <c r="G34" s="754"/>
    </row>
    <row r="35" spans="1:7" ht="30" customHeight="1" x14ac:dyDescent="0.25">
      <c r="A35" s="755">
        <v>31</v>
      </c>
      <c r="B35" s="754"/>
      <c r="C35" s="754"/>
      <c r="D35" s="754"/>
      <c r="E35" s="754"/>
      <c r="F35" s="754"/>
      <c r="G35" s="754"/>
    </row>
    <row r="36" spans="1:7" ht="30" customHeight="1" x14ac:dyDescent="0.25">
      <c r="A36" s="755">
        <v>32</v>
      </c>
      <c r="B36" s="754"/>
      <c r="C36" s="754"/>
      <c r="D36" s="754"/>
      <c r="E36" s="754"/>
      <c r="F36" s="754"/>
      <c r="G36" s="754"/>
    </row>
    <row r="37" spans="1:7" ht="30" customHeight="1" x14ac:dyDescent="0.25">
      <c r="A37" s="755">
        <v>33</v>
      </c>
      <c r="B37" s="754"/>
      <c r="C37" s="754"/>
      <c r="D37" s="754"/>
      <c r="E37" s="754"/>
      <c r="F37" s="754"/>
      <c r="G37" s="754"/>
    </row>
    <row r="38" spans="1:7" ht="30" customHeight="1" x14ac:dyDescent="0.25">
      <c r="A38" s="755">
        <v>34</v>
      </c>
      <c r="B38" s="754"/>
      <c r="C38" s="754"/>
      <c r="D38" s="754"/>
      <c r="E38" s="754"/>
      <c r="F38" s="754"/>
      <c r="G38" s="754"/>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76D8D-119D-4CBE-91C3-A1DA12BA57C4}">
  <sheetPr>
    <pageSetUpPr fitToPage="1"/>
  </sheetPr>
  <dimension ref="A1:L107"/>
  <sheetViews>
    <sheetView showZeros="0" topLeftCell="A106" zoomScale="160" zoomScaleNormal="160" workbookViewId="0">
      <selection activeCell="L53" sqref="L53:M53"/>
    </sheetView>
  </sheetViews>
  <sheetFormatPr defaultColWidth="9.109375" defaultRowHeight="13.2" x14ac:dyDescent="0.25"/>
  <cols>
    <col min="1" max="1" width="3.21875" style="1015" customWidth="1"/>
    <col min="2" max="2" width="8.77734375" style="1016" customWidth="1"/>
    <col min="3" max="3" width="10.6640625" style="1016" customWidth="1"/>
    <col min="4" max="4" width="12.44140625" style="1016" customWidth="1"/>
    <col min="5" max="5" width="13.88671875" style="1016" customWidth="1"/>
    <col min="6" max="6" width="10.44140625" style="1016" customWidth="1"/>
    <col min="7" max="7" width="11.44140625" style="1016" customWidth="1"/>
    <col min="8" max="8" width="11.109375" style="1016" customWidth="1"/>
    <col min="9" max="9" width="2.77734375" style="1016" customWidth="1"/>
    <col min="10" max="10" width="14.88671875" style="1016" customWidth="1"/>
    <col min="11" max="16384" width="9.109375" style="1016"/>
  </cols>
  <sheetData>
    <row r="1" spans="1:8" ht="13.8" customHeight="1" x14ac:dyDescent="0.3">
      <c r="A1" s="1346" t="s">
        <v>1730</v>
      </c>
      <c r="B1" s="1346"/>
      <c r="C1" s="1346"/>
      <c r="D1" s="1346"/>
      <c r="E1" s="1346"/>
      <c r="F1" s="1346"/>
      <c r="G1" s="1346"/>
      <c r="H1" s="1346"/>
    </row>
    <row r="2" spans="1:8" ht="13.8" customHeight="1" thickBot="1" x14ac:dyDescent="0.35">
      <c r="A2" s="1345" t="s">
        <v>1731</v>
      </c>
      <c r="B2" s="1345"/>
      <c r="C2" s="1345"/>
      <c r="D2" s="1345"/>
      <c r="E2" s="1345"/>
      <c r="F2" s="1345"/>
      <c r="G2" s="1345"/>
      <c r="H2" s="1345"/>
    </row>
    <row r="3" spans="1:8" ht="15.6" customHeight="1" thickBot="1" x14ac:dyDescent="0.3">
      <c r="A3" s="1347" t="s">
        <v>1718</v>
      </c>
      <c r="B3" s="1348"/>
      <c r="C3" s="1348"/>
      <c r="D3" s="1348"/>
      <c r="E3" s="1348"/>
      <c r="F3" s="1348"/>
      <c r="G3" s="1348"/>
      <c r="H3" s="1349"/>
    </row>
    <row r="4" spans="1:8" x14ac:dyDescent="0.25">
      <c r="A4" s="1350" t="s">
        <v>1719</v>
      </c>
      <c r="B4" s="1351"/>
      <c r="C4" s="1351"/>
      <c r="D4" s="1351"/>
      <c r="E4" s="1351"/>
      <c r="F4" s="1351"/>
      <c r="G4" s="1351"/>
      <c r="H4" s="1352"/>
    </row>
    <row r="5" spans="1:8" s="1017" customFormat="1" ht="16.2" customHeight="1" x14ac:dyDescent="0.25">
      <c r="A5" s="1353" t="s">
        <v>1720</v>
      </c>
      <c r="B5" s="1354"/>
      <c r="C5" s="1354"/>
      <c r="D5" s="1354"/>
      <c r="E5" s="1354"/>
      <c r="F5" s="1354"/>
      <c r="G5" s="1354"/>
      <c r="H5" s="1355"/>
    </row>
    <row r="6" spans="1:8" ht="16.5" customHeight="1" x14ac:dyDescent="0.25">
      <c r="A6" s="1018"/>
      <c r="B6" s="1019" t="s">
        <v>994</v>
      </c>
      <c r="H6" s="1020" t="s">
        <v>1013</v>
      </c>
    </row>
    <row r="7" spans="1:8" ht="15" customHeight="1" x14ac:dyDescent="0.25">
      <c r="A7" s="1021"/>
      <c r="B7" s="1019"/>
      <c r="C7" s="1022" t="s">
        <v>567</v>
      </c>
      <c r="D7" s="1022"/>
      <c r="E7" s="1023"/>
      <c r="G7" s="1024"/>
      <c r="H7" s="1025"/>
    </row>
    <row r="8" spans="1:8" ht="15" customHeight="1" x14ac:dyDescent="0.25">
      <c r="A8" s="1021"/>
      <c r="C8" s="1026" t="s">
        <v>848</v>
      </c>
      <c r="G8" s="1027"/>
      <c r="H8" s="1025">
        <f>SUM(G7:G8)</f>
        <v>0</v>
      </c>
    </row>
    <row r="9" spans="1:8" ht="15" customHeight="1" x14ac:dyDescent="0.25">
      <c r="A9" s="1021"/>
      <c r="B9" s="1019" t="s">
        <v>995</v>
      </c>
      <c r="E9" s="1028" t="s">
        <v>1573</v>
      </c>
      <c r="H9" s="1025"/>
    </row>
    <row r="10" spans="1:8" ht="15" customHeight="1" x14ac:dyDescent="0.25">
      <c r="A10" s="1021"/>
      <c r="B10" s="1019"/>
      <c r="C10" s="1029" t="s">
        <v>1164</v>
      </c>
      <c r="D10" s="1022"/>
      <c r="E10" s="1030"/>
      <c r="F10" s="1031"/>
      <c r="G10" s="1024"/>
      <c r="H10" s="1025"/>
    </row>
    <row r="11" spans="1:8" ht="15" customHeight="1" x14ac:dyDescent="0.25">
      <c r="A11" s="1021"/>
      <c r="B11" s="1019"/>
      <c r="C11" s="1026" t="s">
        <v>769</v>
      </c>
      <c r="E11" s="1026"/>
      <c r="F11" s="1032"/>
      <c r="G11" s="1033"/>
      <c r="H11" s="1025"/>
    </row>
    <row r="12" spans="1:8" ht="15" hidden="1" customHeight="1" x14ac:dyDescent="0.25">
      <c r="A12" s="1021"/>
      <c r="B12" s="1019"/>
      <c r="C12" s="1026"/>
      <c r="E12" s="1026"/>
      <c r="G12" s="1016">
        <f>IF((G10-G11)&lt;0,0,(G10-G11))</f>
        <v>0</v>
      </c>
      <c r="H12" s="1025"/>
    </row>
    <row r="13" spans="1:8" ht="15" customHeight="1" x14ac:dyDescent="0.25">
      <c r="A13" s="1021"/>
      <c r="B13" s="1019"/>
      <c r="E13" s="1026"/>
      <c r="F13" s="1016">
        <f>G12*0.3</f>
        <v>0</v>
      </c>
      <c r="H13" s="1025"/>
    </row>
    <row r="14" spans="1:8" ht="15" customHeight="1" x14ac:dyDescent="0.3">
      <c r="A14" s="1021"/>
      <c r="B14" s="1019"/>
      <c r="C14" s="1026" t="s">
        <v>514</v>
      </c>
      <c r="E14" s="1034"/>
      <c r="F14" s="1016">
        <f>G13*0.3</f>
        <v>0</v>
      </c>
      <c r="G14" s="1035">
        <f>F13+F14</f>
        <v>0</v>
      </c>
      <c r="H14" s="1025">
        <f>G12-G14</f>
        <v>0</v>
      </c>
    </row>
    <row r="15" spans="1:8" ht="15" customHeight="1" x14ac:dyDescent="0.25">
      <c r="A15" s="1021"/>
      <c r="B15" s="1019" t="s">
        <v>996</v>
      </c>
      <c r="C15" s="1026"/>
      <c r="E15" s="1036"/>
      <c r="H15" s="1025"/>
    </row>
    <row r="16" spans="1:8" ht="15" customHeight="1" x14ac:dyDescent="0.25">
      <c r="A16" s="1021"/>
      <c r="C16" s="1030" t="s">
        <v>1821</v>
      </c>
      <c r="D16" s="1128"/>
      <c r="E16" s="1197"/>
      <c r="F16" s="1030" t="s">
        <v>1711</v>
      </c>
      <c r="G16" s="1038"/>
      <c r="H16" s="1025"/>
    </row>
    <row r="17" spans="1:8" ht="15" customHeight="1" x14ac:dyDescent="0.25">
      <c r="A17" s="1021"/>
      <c r="C17" s="1195" t="s">
        <v>1766</v>
      </c>
      <c r="E17" s="1037"/>
      <c r="G17" s="1038"/>
      <c r="H17" s="1025"/>
    </row>
    <row r="18" spans="1:8" ht="15" customHeight="1" x14ac:dyDescent="0.25">
      <c r="A18" s="1021"/>
      <c r="C18" s="672" t="s">
        <v>1820</v>
      </c>
      <c r="E18" s="1037"/>
      <c r="G18" s="1038"/>
      <c r="H18" s="1025"/>
    </row>
    <row r="19" spans="1:8" ht="15" customHeight="1" x14ac:dyDescent="0.25">
      <c r="A19" s="1021"/>
      <c r="C19" s="1026" t="s">
        <v>1721</v>
      </c>
      <c r="F19" s="1039"/>
      <c r="G19" s="1038"/>
      <c r="H19" s="1025"/>
    </row>
    <row r="20" spans="1:8" ht="15" customHeight="1" x14ac:dyDescent="0.25">
      <c r="A20" s="1021"/>
      <c r="C20" s="1026" t="s">
        <v>1294</v>
      </c>
      <c r="E20" s="1036"/>
      <c r="G20" s="1040"/>
      <c r="H20" s="1041">
        <v>9790110</v>
      </c>
    </row>
    <row r="21" spans="1:8" ht="15" customHeight="1" x14ac:dyDescent="0.25">
      <c r="A21" s="1021"/>
      <c r="B21" s="1019" t="s">
        <v>997</v>
      </c>
      <c r="H21" s="1025"/>
    </row>
    <row r="22" spans="1:8" x14ac:dyDescent="0.25">
      <c r="A22" s="1021"/>
      <c r="C22" s="1026" t="s">
        <v>498</v>
      </c>
      <c r="E22" s="1026"/>
      <c r="G22" s="1042"/>
      <c r="H22" s="1025"/>
    </row>
    <row r="23" spans="1:8" x14ac:dyDescent="0.25">
      <c r="A23" s="1021"/>
      <c r="B23" s="1043"/>
      <c r="C23" s="1026" t="s">
        <v>77</v>
      </c>
      <c r="D23" s="1026"/>
      <c r="E23" s="1026"/>
      <c r="G23" s="1033"/>
      <c r="H23" s="1025">
        <f>G22+G23</f>
        <v>0</v>
      </c>
    </row>
    <row r="24" spans="1:8" ht="20.100000000000001" customHeight="1" x14ac:dyDescent="0.25">
      <c r="A24" s="1021"/>
      <c r="B24" s="1019" t="s">
        <v>998</v>
      </c>
      <c r="H24" s="1025"/>
    </row>
    <row r="25" spans="1:8" x14ac:dyDescent="0.25">
      <c r="A25" s="1021"/>
      <c r="B25" s="1044"/>
      <c r="C25" s="1023" t="s">
        <v>1247</v>
      </c>
      <c r="D25" s="1023"/>
      <c r="E25" s="1023"/>
      <c r="F25" s="1045"/>
      <c r="G25" s="1046">
        <v>18000</v>
      </c>
      <c r="H25" s="1047"/>
    </row>
    <row r="26" spans="1:8" x14ac:dyDescent="0.25">
      <c r="A26" s="1021"/>
      <c r="B26" s="1044"/>
      <c r="C26" s="1023" t="s">
        <v>1374</v>
      </c>
      <c r="D26" s="1023"/>
      <c r="E26" s="1022"/>
      <c r="F26" s="1048">
        <v>86000</v>
      </c>
      <c r="G26" s="1049"/>
      <c r="H26" s="1047"/>
    </row>
    <row r="27" spans="1:8" ht="15" customHeight="1" x14ac:dyDescent="0.3">
      <c r="A27" s="1021"/>
      <c r="B27" s="1050"/>
      <c r="C27" s="1023"/>
      <c r="D27" s="1034"/>
      <c r="E27" s="1051"/>
      <c r="F27" s="1051"/>
      <c r="G27" s="1051"/>
      <c r="H27" s="1052">
        <f>+G25</f>
        <v>18000</v>
      </c>
    </row>
    <row r="28" spans="1:8" ht="15" customHeight="1" x14ac:dyDescent="0.25">
      <c r="A28" s="1021"/>
      <c r="B28" s="1050"/>
      <c r="F28" s="1045"/>
      <c r="G28" s="1045"/>
      <c r="H28" s="1047">
        <f>+G27</f>
        <v>0</v>
      </c>
    </row>
    <row r="29" spans="1:8" ht="15" customHeight="1" x14ac:dyDescent="0.25">
      <c r="A29" s="1021"/>
      <c r="B29" s="1053"/>
      <c r="C29" s="1054"/>
      <c r="D29" s="1055"/>
      <c r="F29" s="1056"/>
      <c r="G29" s="1045"/>
      <c r="H29" s="1052"/>
    </row>
    <row r="30" spans="1:8" ht="15" customHeight="1" x14ac:dyDescent="0.25">
      <c r="A30" s="1021"/>
      <c r="B30" s="1019" t="s">
        <v>501</v>
      </c>
      <c r="E30" s="1053"/>
      <c r="F30" s="1057"/>
      <c r="G30" s="1058"/>
      <c r="H30" s="1059">
        <f>SUM(H8:H28)</f>
        <v>9808110</v>
      </c>
    </row>
    <row r="31" spans="1:8" ht="15" customHeight="1" x14ac:dyDescent="0.25">
      <c r="A31" s="1021"/>
      <c r="B31" s="1060" t="s">
        <v>999</v>
      </c>
      <c r="F31" s="1045"/>
      <c r="G31" s="1045"/>
      <c r="H31" s="1047"/>
    </row>
    <row r="32" spans="1:8" ht="15" customHeight="1" x14ac:dyDescent="0.25">
      <c r="A32" s="1021"/>
      <c r="B32" s="1061"/>
      <c r="F32" s="1045"/>
      <c r="G32" s="1045"/>
      <c r="H32" s="1047"/>
    </row>
    <row r="33" spans="1:12" ht="12.75" customHeight="1" x14ac:dyDescent="0.25">
      <c r="A33" s="1021"/>
      <c r="B33" s="1061"/>
      <c r="C33" s="1062" t="s">
        <v>1483</v>
      </c>
      <c r="D33" s="1023"/>
      <c r="E33" s="1023" t="s">
        <v>1577</v>
      </c>
      <c r="F33" s="1046">
        <v>120000</v>
      </c>
      <c r="G33" s="1045"/>
      <c r="H33" s="1047"/>
    </row>
    <row r="34" spans="1:12" ht="15" customHeight="1" x14ac:dyDescent="0.25">
      <c r="A34" s="1021"/>
      <c r="B34" s="1061"/>
      <c r="C34" s="1023"/>
      <c r="E34" s="1023"/>
      <c r="F34" s="1063">
        <f>SUM(F33:F33)</f>
        <v>120000</v>
      </c>
      <c r="G34" s="1045">
        <f>IF(F34&gt;150000,150000,F34)</f>
        <v>120000</v>
      </c>
      <c r="H34" s="1047"/>
    </row>
    <row r="35" spans="1:12" ht="15" customHeight="1" x14ac:dyDescent="0.25">
      <c r="A35" s="1021"/>
      <c r="B35" s="1061"/>
      <c r="C35" s="1062" t="s">
        <v>1526</v>
      </c>
      <c r="E35" s="1023" t="s">
        <v>1149</v>
      </c>
      <c r="F35" s="1058"/>
      <c r="G35" s="1046">
        <v>30000</v>
      </c>
      <c r="H35" s="1047"/>
    </row>
    <row r="36" spans="1:12" ht="15" customHeight="1" x14ac:dyDescent="0.25">
      <c r="A36" s="1021"/>
      <c r="B36" s="1061"/>
      <c r="C36" s="1062" t="s">
        <v>1249</v>
      </c>
      <c r="E36" s="1023" t="s">
        <v>1149</v>
      </c>
      <c r="F36" s="1045"/>
      <c r="G36" s="1046">
        <v>50000</v>
      </c>
      <c r="H36" s="1047"/>
    </row>
    <row r="37" spans="1:12" ht="15" customHeight="1" x14ac:dyDescent="0.25">
      <c r="A37" s="1021"/>
      <c r="B37" s="1061"/>
      <c r="C37" s="1062" t="s">
        <v>852</v>
      </c>
      <c r="E37" s="1055" t="s">
        <v>1528</v>
      </c>
      <c r="F37" s="1045"/>
      <c r="G37" s="1046">
        <f>21000+4000</f>
        <v>25000</v>
      </c>
      <c r="H37" s="1047"/>
    </row>
    <row r="38" spans="1:12" ht="15" customHeight="1" x14ac:dyDescent="0.25">
      <c r="A38" s="1021"/>
      <c r="B38" s="1061"/>
      <c r="C38" s="1062" t="s">
        <v>611</v>
      </c>
      <c r="D38" s="1023" t="s">
        <v>1611</v>
      </c>
      <c r="E38" s="1055">
        <v>21000</v>
      </c>
      <c r="F38" s="1045"/>
      <c r="G38" s="1046">
        <v>10500</v>
      </c>
      <c r="H38" s="1047"/>
    </row>
    <row r="39" spans="1:12" ht="15" customHeight="1" x14ac:dyDescent="0.25">
      <c r="A39" s="1021"/>
      <c r="C39" s="1062" t="s">
        <v>979</v>
      </c>
      <c r="E39" s="1053"/>
      <c r="F39" s="1057"/>
      <c r="G39" s="1064">
        <f>IF(G25&gt;10000, 10000, G25)</f>
        <v>10000</v>
      </c>
      <c r="H39" s="1047"/>
      <c r="L39" s="1023"/>
    </row>
    <row r="40" spans="1:12" x14ac:dyDescent="0.25">
      <c r="A40" s="1021"/>
      <c r="C40" s="1065" t="s">
        <v>853</v>
      </c>
      <c r="E40" s="1053"/>
      <c r="F40" s="1057"/>
      <c r="G40" s="1046"/>
      <c r="H40" s="1047">
        <f>SUM(G34:G40)</f>
        <v>245500</v>
      </c>
      <c r="L40" s="1023"/>
    </row>
    <row r="41" spans="1:12" ht="15.75" customHeight="1" thickBot="1" x14ac:dyDescent="0.3">
      <c r="A41" s="1021"/>
      <c r="B41" s="1066" t="s">
        <v>777</v>
      </c>
      <c r="E41" s="1067">
        <f>IF((H30-H40)&lt;0,0,(H30-H40))</f>
        <v>9562610</v>
      </c>
      <c r="F41" s="1068" t="s">
        <v>779</v>
      </c>
      <c r="G41" s="1069"/>
      <c r="H41" s="1070">
        <f>ROUND((E41/10),0)*10</f>
        <v>9562610</v>
      </c>
      <c r="L41" s="1071"/>
    </row>
    <row r="42" spans="1:12" ht="15" customHeight="1" thickTop="1" x14ac:dyDescent="0.25">
      <c r="A42" s="1021"/>
      <c r="B42" s="1072" t="s">
        <v>778</v>
      </c>
      <c r="E42" s="1073" t="s">
        <v>521</v>
      </c>
      <c r="F42" s="1074" t="s">
        <v>522</v>
      </c>
      <c r="G42" s="1056" t="s">
        <v>524</v>
      </c>
      <c r="H42" s="1075"/>
      <c r="J42" s="1023"/>
      <c r="L42" s="1076" t="s">
        <v>1722</v>
      </c>
    </row>
    <row r="43" spans="1:12" ht="15" customHeight="1" x14ac:dyDescent="0.25">
      <c r="A43" s="1021"/>
      <c r="B43" s="1077">
        <v>25065</v>
      </c>
      <c r="C43" s="1078">
        <f>IF(B43&lt;21277,"Sr Citizen",0)</f>
        <v>0</v>
      </c>
      <c r="D43" s="1079" t="s">
        <v>1521</v>
      </c>
      <c r="E43" s="1080">
        <f>H41</f>
        <v>9562610</v>
      </c>
      <c r="F43" s="1081"/>
      <c r="G43" s="1045">
        <f>IF(+C43="Sr Citizen",ROUND(IF(E43&gt;1000000,(((E43-1000000)*0.3)+110000),IF(E43&gt;500000,(((E43-500000)*0.2)+10000),IF(E43&gt;300000,((E43-300000)*0.05),0))),0),ROUND(IF(E43&gt;1000000,(((E43-1000000)*0.3)+112500),IF(E43&gt;500000,(((E43-500000)*0.2)+12500),IF(E43&gt;250000,((E43-250000)*0.05),0))),0))</f>
        <v>2681283</v>
      </c>
      <c r="H43" s="1075"/>
      <c r="J43" s="1023" t="s">
        <v>1712</v>
      </c>
      <c r="K43" s="1031" t="s">
        <v>1378</v>
      </c>
      <c r="L43" s="1082"/>
    </row>
    <row r="44" spans="1:12" ht="15" customHeight="1" x14ac:dyDescent="0.25">
      <c r="A44" s="1021"/>
      <c r="C44" s="1026"/>
      <c r="D44" s="1079" t="s">
        <v>1522</v>
      </c>
      <c r="E44" s="1053"/>
      <c r="F44" s="1045"/>
      <c r="G44" s="1083"/>
      <c r="H44" s="1084">
        <f>+G43</f>
        <v>2681283</v>
      </c>
      <c r="J44" s="1023" t="s">
        <v>1713</v>
      </c>
      <c r="K44" s="1085">
        <v>0.05</v>
      </c>
      <c r="L44" s="1082">
        <f>250000*5%</f>
        <v>12500</v>
      </c>
    </row>
    <row r="45" spans="1:12" ht="15" customHeight="1" x14ac:dyDescent="0.25">
      <c r="A45" s="1021"/>
      <c r="B45" s="595" t="s">
        <v>1523</v>
      </c>
      <c r="C45" s="1026"/>
      <c r="D45" s="1086"/>
      <c r="E45" s="1053"/>
      <c r="F45" s="1057"/>
      <c r="G45" s="1087"/>
      <c r="H45" s="1088">
        <f>IF(H41&gt;10000000,H44*15%,IF(H41&gt;5000000,H44*10%,0))</f>
        <v>268128.3</v>
      </c>
      <c r="J45" s="1023" t="s">
        <v>1714</v>
      </c>
      <c r="K45" s="1085">
        <v>0.2</v>
      </c>
      <c r="L45" s="1082">
        <f>500000*20%</f>
        <v>100000</v>
      </c>
    </row>
    <row r="46" spans="1:12" ht="15" customHeight="1" x14ac:dyDescent="0.25">
      <c r="A46" s="1021"/>
      <c r="B46" s="595"/>
      <c r="C46" s="1026"/>
      <c r="D46" s="1086"/>
      <c r="E46" s="1053"/>
      <c r="F46" s="1057"/>
      <c r="G46" s="1087"/>
      <c r="H46" s="1084">
        <f>H44+H45</f>
        <v>2949411.3</v>
      </c>
      <c r="J46" s="1023" t="s">
        <v>1029</v>
      </c>
      <c r="K46" s="1085">
        <v>0.3</v>
      </c>
      <c r="L46" s="1089">
        <f>(H41-1000000)*30%</f>
        <v>2568783</v>
      </c>
    </row>
    <row r="47" spans="1:12" ht="15" customHeight="1" thickBot="1" x14ac:dyDescent="0.3">
      <c r="A47" s="1021"/>
      <c r="B47" s="1026" t="s">
        <v>1609</v>
      </c>
      <c r="D47" s="1086"/>
      <c r="E47" s="1053"/>
      <c r="F47" s="1045"/>
      <c r="G47" s="1057"/>
      <c r="H47" s="1088">
        <f>ROUND((H46)*0.04,0)</f>
        <v>117976</v>
      </c>
      <c r="J47" s="1023"/>
      <c r="L47" s="1090">
        <f>SUM(L44:L46)</f>
        <v>2681283</v>
      </c>
    </row>
    <row r="48" spans="1:12" ht="15" customHeight="1" thickTop="1" x14ac:dyDescent="0.25">
      <c r="A48" s="1021"/>
      <c r="B48" s="1072" t="s">
        <v>565</v>
      </c>
      <c r="D48" s="1086"/>
      <c r="E48" s="1091"/>
      <c r="F48" s="1045"/>
      <c r="G48" s="1057"/>
      <c r="H48" s="1092">
        <f>SUM(H46:H47)</f>
        <v>3067387.3</v>
      </c>
      <c r="J48" s="1023"/>
      <c r="L48" s="1082"/>
    </row>
    <row r="49" spans="1:12" ht="15" customHeight="1" x14ac:dyDescent="0.25">
      <c r="A49" s="1021"/>
      <c r="B49" s="1023" t="s">
        <v>1744</v>
      </c>
      <c r="E49" s="1319" t="s">
        <v>1826</v>
      </c>
      <c r="F49" s="1045"/>
      <c r="H49" s="1321"/>
      <c r="J49" s="1023"/>
      <c r="L49" s="1082"/>
    </row>
    <row r="50" spans="1:12" ht="15" customHeight="1" x14ac:dyDescent="0.25">
      <c r="A50" s="1021"/>
      <c r="B50" s="1023" t="s">
        <v>1723</v>
      </c>
      <c r="D50" s="1086"/>
      <c r="E50" s="1320" t="s">
        <v>1827</v>
      </c>
      <c r="F50" s="1045"/>
      <c r="G50" s="1057"/>
      <c r="H50" s="1322">
        <f>+K56</f>
        <v>541883</v>
      </c>
      <c r="L50" s="1023"/>
    </row>
    <row r="51" spans="1:12" ht="15" customHeight="1" x14ac:dyDescent="0.25">
      <c r="A51" s="1021"/>
      <c r="B51" s="1072"/>
      <c r="D51" s="1086"/>
      <c r="E51" s="1091"/>
      <c r="F51" s="1045"/>
      <c r="G51" s="1057"/>
      <c r="H51" s="1092">
        <f>H48+H50</f>
        <v>3609270.3</v>
      </c>
      <c r="L51" s="1023"/>
    </row>
    <row r="52" spans="1:12" ht="15" customHeight="1" x14ac:dyDescent="0.25">
      <c r="A52" s="1021"/>
      <c r="B52" s="1019" t="s">
        <v>571</v>
      </c>
      <c r="C52" s="1053"/>
      <c r="D52" s="1086"/>
      <c r="E52" s="1053"/>
      <c r="F52" s="1057"/>
      <c r="G52" s="1057"/>
      <c r="H52" s="1047"/>
      <c r="K52" s="1076" t="s">
        <v>1724</v>
      </c>
      <c r="L52" s="1023"/>
    </row>
    <row r="53" spans="1:12" ht="15" customHeight="1" x14ac:dyDescent="0.3">
      <c r="A53" s="1021"/>
      <c r="B53" s="1093"/>
      <c r="C53" s="1356" t="s">
        <v>993</v>
      </c>
      <c r="D53" s="1356"/>
      <c r="E53" s="1094">
        <v>44075</v>
      </c>
      <c r="F53" s="1095"/>
      <c r="G53" s="1064">
        <v>208000</v>
      </c>
      <c r="H53" s="1047"/>
      <c r="J53" s="1079" t="s">
        <v>1715</v>
      </c>
      <c r="K53" s="1326">
        <f>+K102</f>
        <v>105956</v>
      </c>
    </row>
    <row r="54" spans="1:12" ht="15" customHeight="1" x14ac:dyDescent="0.3">
      <c r="A54" s="1021"/>
      <c r="B54" s="1096"/>
      <c r="C54" s="1356" t="s">
        <v>1192</v>
      </c>
      <c r="D54" s="1356"/>
      <c r="E54" s="1094">
        <v>44347</v>
      </c>
      <c r="F54" s="1095"/>
      <c r="G54" s="1046">
        <v>408000</v>
      </c>
      <c r="H54" s="1047"/>
      <c r="J54" s="1079" t="s">
        <v>1716</v>
      </c>
      <c r="K54" s="1326">
        <f>+K92</f>
        <v>295587</v>
      </c>
    </row>
    <row r="55" spans="1:12" ht="12.75" customHeight="1" thickBot="1" x14ac:dyDescent="0.35">
      <c r="A55" s="1097"/>
      <c r="B55" s="1098"/>
      <c r="C55" s="1099"/>
      <c r="D55" s="1099"/>
      <c r="E55" s="1100"/>
      <c r="F55" s="1101"/>
      <c r="G55" s="1102"/>
      <c r="H55" s="1103">
        <f>SUM(G53:G55)</f>
        <v>616000</v>
      </c>
      <c r="J55" s="1079" t="s">
        <v>1717</v>
      </c>
      <c r="K55" s="1326">
        <f>+K76</f>
        <v>140340</v>
      </c>
    </row>
    <row r="56" spans="1:12" ht="18" customHeight="1" thickBot="1" x14ac:dyDescent="0.35">
      <c r="A56" s="1104"/>
      <c r="B56" s="1105" t="str">
        <f>IF(H56=0,"TAX  PAYABLE / REFUND ",IF(H56&lt;0,"REFUND","TAX  PAYABLE"))</f>
        <v>TAX  PAYABLE</v>
      </c>
      <c r="C56" s="1098"/>
      <c r="D56" s="1100">
        <v>44469</v>
      </c>
      <c r="E56" s="1106"/>
      <c r="F56" s="1107" t="s">
        <v>776</v>
      </c>
      <c r="G56" s="1108"/>
      <c r="H56" s="1109">
        <f>H51-H55</f>
        <v>2993270.3</v>
      </c>
      <c r="K56" s="1110">
        <f>SUM(K53:K55)</f>
        <v>541883</v>
      </c>
      <c r="L56" s="1026"/>
    </row>
    <row r="57" spans="1:12" ht="18" customHeight="1" thickBot="1" x14ac:dyDescent="0.3">
      <c r="A57" s="1111"/>
      <c r="B57" s="1196" t="s">
        <v>1825</v>
      </c>
      <c r="C57" s="1098"/>
      <c r="D57" s="1112"/>
      <c r="E57" s="1106"/>
      <c r="F57" s="1102"/>
      <c r="G57" s="1323" t="s">
        <v>1537</v>
      </c>
      <c r="H57" s="1324" t="s">
        <v>1539</v>
      </c>
    </row>
    <row r="58" spans="1:12" x14ac:dyDescent="0.25">
      <c r="A58" s="1344"/>
      <c r="B58" s="1344"/>
      <c r="E58" s="1113"/>
      <c r="F58" s="1113"/>
      <c r="G58" s="1113"/>
      <c r="H58" s="1114"/>
      <c r="I58" s="1113"/>
      <c r="J58" s="1325" t="s">
        <v>1824</v>
      </c>
    </row>
    <row r="59" spans="1:12" x14ac:dyDescent="0.25">
      <c r="A59" s="1192"/>
      <c r="B59" s="1016" t="s">
        <v>1774</v>
      </c>
      <c r="C59" s="1195" t="s">
        <v>1828</v>
      </c>
      <c r="E59" s="1113"/>
      <c r="F59" s="1113"/>
      <c r="G59" s="1113"/>
      <c r="H59" s="1114"/>
      <c r="I59" s="1113"/>
      <c r="J59" s="1325" t="s">
        <v>1822</v>
      </c>
      <c r="K59" s="1026"/>
    </row>
    <row r="60" spans="1:12" x14ac:dyDescent="0.25">
      <c r="A60" s="1192"/>
      <c r="C60" s="1258" t="s">
        <v>1781</v>
      </c>
      <c r="E60" s="1113"/>
      <c r="F60" s="1113"/>
      <c r="G60" s="1113"/>
      <c r="H60" s="1114"/>
      <c r="I60" s="1113"/>
      <c r="J60" s="1325" t="s">
        <v>1823</v>
      </c>
    </row>
    <row r="61" spans="1:12" x14ac:dyDescent="0.25">
      <c r="A61" s="1192"/>
      <c r="C61" s="1258" t="s">
        <v>1782</v>
      </c>
      <c r="E61" s="1113"/>
      <c r="F61" s="1113"/>
      <c r="G61" s="1113"/>
      <c r="H61" s="1114"/>
      <c r="I61" s="1113"/>
      <c r="J61" s="1023"/>
    </row>
    <row r="62" spans="1:12" x14ac:dyDescent="0.25">
      <c r="A62" s="1192"/>
      <c r="C62" s="1195" t="s">
        <v>1779</v>
      </c>
      <c r="E62" s="1113"/>
      <c r="F62" s="1113"/>
      <c r="G62" s="1113"/>
      <c r="H62" s="1114"/>
      <c r="I62" s="1113"/>
      <c r="J62" s="1023"/>
    </row>
    <row r="63" spans="1:12" x14ac:dyDescent="0.25">
      <c r="A63" s="1192"/>
      <c r="E63" s="1113"/>
      <c r="F63" s="1113"/>
      <c r="G63" s="1113"/>
      <c r="H63" s="1114"/>
      <c r="I63" s="1113"/>
      <c r="J63" s="1023"/>
    </row>
    <row r="64" spans="1:12" x14ac:dyDescent="0.25">
      <c r="A64" s="1192"/>
      <c r="C64" s="1195" t="s">
        <v>1780</v>
      </c>
      <c r="E64" s="1113"/>
      <c r="F64" s="1113"/>
      <c r="G64" s="1113"/>
      <c r="H64" s="1114"/>
      <c r="I64" s="1113"/>
    </row>
    <row r="65" spans="1:11" x14ac:dyDescent="0.25">
      <c r="A65" s="1192"/>
      <c r="B65" s="1192"/>
      <c r="C65" s="1195" t="s">
        <v>1778</v>
      </c>
      <c r="E65" s="1113"/>
      <c r="F65" s="1113"/>
      <c r="G65" s="1113"/>
      <c r="H65" s="1114"/>
      <c r="I65" s="1113"/>
    </row>
    <row r="66" spans="1:11" x14ac:dyDescent="0.25">
      <c r="A66" s="1192"/>
      <c r="B66" s="1192"/>
      <c r="E66" s="1113"/>
      <c r="F66" s="1113"/>
      <c r="G66" s="1113"/>
      <c r="H66" s="1114"/>
      <c r="I66" s="1113"/>
    </row>
    <row r="67" spans="1:11" x14ac:dyDescent="0.25">
      <c r="A67" s="1192"/>
      <c r="B67" s="1252" t="s">
        <v>1762</v>
      </c>
      <c r="C67" s="1253"/>
      <c r="D67" s="1253"/>
      <c r="E67" s="1253"/>
      <c r="F67" s="1253"/>
      <c r="G67" s="1237" t="s">
        <v>1763</v>
      </c>
      <c r="H67" s="1251">
        <f>H79+H94+H104</f>
        <v>541883</v>
      </c>
      <c r="I67" s="1113"/>
    </row>
    <row r="68" spans="1:11" x14ac:dyDescent="0.25">
      <c r="A68" s="1192"/>
      <c r="B68" s="1202" t="s">
        <v>1764</v>
      </c>
      <c r="C68" s="595"/>
      <c r="D68" s="595"/>
      <c r="E68" s="595"/>
      <c r="F68" s="595"/>
      <c r="G68" s="1238"/>
      <c r="H68" s="1239"/>
      <c r="I68" s="1113"/>
    </row>
    <row r="69" spans="1:11" x14ac:dyDescent="0.25">
      <c r="A69" s="1192"/>
      <c r="B69" s="1145" t="s">
        <v>1748</v>
      </c>
      <c r="C69" s="595"/>
      <c r="D69" s="595"/>
      <c r="E69" s="1244">
        <f>+H48</f>
        <v>3067387.3</v>
      </c>
    </row>
    <row r="70" spans="1:11" x14ac:dyDescent="0.25">
      <c r="A70" s="1192"/>
      <c r="B70" s="1145" t="s">
        <v>1775</v>
      </c>
      <c r="C70" s="595"/>
      <c r="D70" s="595"/>
      <c r="E70" s="1244">
        <f>(+G40+G41)*-1</f>
        <v>0</v>
      </c>
      <c r="F70" s="416"/>
      <c r="G70" s="595"/>
      <c r="H70" s="416"/>
      <c r="I70" s="1113"/>
    </row>
    <row r="71" spans="1:11" ht="13.8" thickBot="1" x14ac:dyDescent="0.3">
      <c r="A71" s="1192"/>
      <c r="B71" s="1145" t="s">
        <v>1765</v>
      </c>
      <c r="C71" s="595"/>
      <c r="D71" s="595"/>
      <c r="E71" s="1245">
        <f>E69+E70</f>
        <v>3067387.3</v>
      </c>
      <c r="F71" s="416"/>
      <c r="G71" s="595"/>
      <c r="H71" s="416"/>
      <c r="I71" s="1113"/>
    </row>
    <row r="72" spans="1:11" ht="13.8" thickTop="1" x14ac:dyDescent="0.25">
      <c r="A72" s="1192"/>
      <c r="B72" s="416"/>
      <c r="C72" s="595"/>
      <c r="D72" s="595"/>
      <c r="E72" s="1256">
        <f>IF(E71&gt;10000,E71,0)</f>
        <v>3067387.3</v>
      </c>
      <c r="F72" s="416"/>
      <c r="G72" s="595"/>
      <c r="H72" s="416"/>
      <c r="I72" s="1113"/>
    </row>
    <row r="73" spans="1:11" s="690" customFormat="1" ht="25.5" customHeight="1" x14ac:dyDescent="0.2">
      <c r="A73" s="1198"/>
      <c r="B73" s="1204" t="s">
        <v>596</v>
      </c>
      <c r="C73" s="1204" t="s">
        <v>398</v>
      </c>
      <c r="D73" s="1204" t="s">
        <v>580</v>
      </c>
      <c r="E73" s="1204" t="s">
        <v>581</v>
      </c>
      <c r="F73" s="1199" t="s">
        <v>1745</v>
      </c>
      <c r="G73" s="1205" t="s">
        <v>583</v>
      </c>
      <c r="H73" s="1204" t="s">
        <v>584</v>
      </c>
      <c r="I73" s="1250"/>
      <c r="J73" s="1313" t="s">
        <v>1746</v>
      </c>
      <c r="K73" s="1314" t="s">
        <v>1819</v>
      </c>
    </row>
    <row r="74" spans="1:11" s="690" customFormat="1" ht="15" customHeight="1" x14ac:dyDescent="0.2">
      <c r="A74" s="1200">
        <v>1</v>
      </c>
      <c r="B74" s="1206"/>
      <c r="C74" s="1207"/>
      <c r="D74" s="1206">
        <v>43997</v>
      </c>
      <c r="E74" s="1208">
        <f>E72*0.15</f>
        <v>460108.09499999997</v>
      </c>
      <c r="F74" s="1208">
        <f>ROUNDDOWN(+E74,-2)</f>
        <v>460100</v>
      </c>
      <c r="G74" s="1208">
        <f>(F74-C74)</f>
        <v>460100</v>
      </c>
      <c r="H74" s="1209">
        <f>IF(G74&gt;0,G74*0.12/12*3,0)</f>
        <v>13803</v>
      </c>
      <c r="J74" s="1315"/>
      <c r="K74" s="1316"/>
    </row>
    <row r="75" spans="1:11" s="690" customFormat="1" ht="15" customHeight="1" x14ac:dyDescent="0.2">
      <c r="A75" s="1200">
        <v>2</v>
      </c>
      <c r="B75" s="1317">
        <v>44075</v>
      </c>
      <c r="C75" s="1207">
        <v>208000</v>
      </c>
      <c r="D75" s="1206">
        <v>44089</v>
      </c>
      <c r="E75" s="1208">
        <f>E72*0.45</f>
        <v>1380324.2849999999</v>
      </c>
      <c r="F75" s="1208">
        <f>ROUNDDOWN(+E75,-2)</f>
        <v>1380300</v>
      </c>
      <c r="G75" s="1208">
        <f>(F75-C75-C74)</f>
        <v>1172300</v>
      </c>
      <c r="H75" s="1209">
        <f>IF(G75&gt;0,G75*0.12/12*3,0)</f>
        <v>35169</v>
      </c>
      <c r="J75" s="1315">
        <v>44593</v>
      </c>
      <c r="K75" s="1316">
        <v>140340</v>
      </c>
    </row>
    <row r="76" spans="1:11" s="690" customFormat="1" ht="15" customHeight="1" x14ac:dyDescent="0.2">
      <c r="A76" s="1200">
        <v>3</v>
      </c>
      <c r="B76" s="1206"/>
      <c r="C76" s="1207"/>
      <c r="D76" s="1206">
        <v>44180</v>
      </c>
      <c r="E76" s="1208">
        <f>E72*0.75</f>
        <v>2300540.4749999996</v>
      </c>
      <c r="F76" s="1208">
        <f>ROUNDDOWN(+E76,-2)</f>
        <v>2300500</v>
      </c>
      <c r="G76" s="1208">
        <f>(F76-(C74+C75+C76))</f>
        <v>2092500</v>
      </c>
      <c r="H76" s="1209">
        <f>IF(G76&gt;0,G76*0.12/12*3,0)</f>
        <v>62775</v>
      </c>
      <c r="J76" s="1315">
        <v>44621</v>
      </c>
      <c r="K76" s="1316">
        <v>140340</v>
      </c>
    </row>
    <row r="77" spans="1:11" s="690" customFormat="1" ht="15" customHeight="1" x14ac:dyDescent="0.2">
      <c r="A77" s="1200">
        <v>4</v>
      </c>
      <c r="B77" s="1206"/>
      <c r="C77" s="1207"/>
      <c r="D77" s="1206">
        <v>44270</v>
      </c>
      <c r="E77" s="1208">
        <f>E72*1</f>
        <v>3067387.3</v>
      </c>
      <c r="F77" s="1208">
        <f>ROUNDDOWN(+E77,-2)</f>
        <v>3067300</v>
      </c>
      <c r="G77" s="1208">
        <f>(F77-(C74+C75+C76+C77))</f>
        <v>2859300</v>
      </c>
      <c r="H77" s="1209">
        <f>IF(G77&gt;0,G77*0.12/12,0)</f>
        <v>28593</v>
      </c>
      <c r="I77" s="1212"/>
    </row>
    <row r="78" spans="1:11" s="690" customFormat="1" ht="15" customHeight="1" x14ac:dyDescent="0.2">
      <c r="A78" s="1200">
        <v>5</v>
      </c>
      <c r="B78" s="1206"/>
      <c r="C78" s="1207"/>
      <c r="D78" s="1206">
        <v>44286</v>
      </c>
      <c r="F78" s="1212"/>
      <c r="G78" s="1212"/>
      <c r="H78" s="1213"/>
    </row>
    <row r="79" spans="1:11" s="690" customFormat="1" ht="15" customHeight="1" thickBot="1" x14ac:dyDescent="0.25">
      <c r="A79" s="1198"/>
      <c r="B79" s="1113"/>
      <c r="C79" s="1214">
        <f>SUM(C74:C78)</f>
        <v>208000</v>
      </c>
      <c r="D79" s="1113"/>
      <c r="E79" s="1113"/>
      <c r="F79" s="1113"/>
      <c r="G79" s="1113"/>
      <c r="H79" s="1215">
        <f>SUM(H74:H77)</f>
        <v>140340</v>
      </c>
      <c r="J79" s="760"/>
    </row>
    <row r="80" spans="1:11" s="690" customFormat="1" ht="15" customHeight="1" thickTop="1" thickBot="1" x14ac:dyDescent="0.25">
      <c r="A80" s="1201"/>
      <c r="B80" s="1216"/>
      <c r="C80" s="1217"/>
      <c r="D80" s="1216"/>
      <c r="E80" s="1216"/>
      <c r="F80" s="1216"/>
      <c r="G80" s="1216"/>
      <c r="H80" s="1318" t="s">
        <v>1767</v>
      </c>
      <c r="J80" s="1311">
        <v>44652</v>
      </c>
      <c r="K80" s="1310">
        <v>140340</v>
      </c>
    </row>
    <row r="81" spans="1:11" s="690" customFormat="1" ht="15" customHeight="1" x14ac:dyDescent="0.2">
      <c r="A81" s="1198"/>
      <c r="B81" s="1218" t="s">
        <v>1747</v>
      </c>
      <c r="C81" s="1219"/>
      <c r="D81" s="1113"/>
      <c r="E81" s="1113"/>
      <c r="F81" s="1113"/>
      <c r="G81" s="1113"/>
      <c r="H81" s="1220" t="s">
        <v>584</v>
      </c>
      <c r="J81" s="760"/>
    </row>
    <row r="82" spans="1:11" s="690" customFormat="1" ht="15" customHeight="1" x14ac:dyDescent="0.2">
      <c r="A82" s="1198"/>
      <c r="B82" s="1113" t="s">
        <v>1748</v>
      </c>
      <c r="C82" s="1113"/>
      <c r="D82" s="1113"/>
      <c r="E82" s="1208">
        <f>+H48</f>
        <v>3067387.3</v>
      </c>
      <c r="F82" s="1113"/>
      <c r="G82" s="1221">
        <v>44287</v>
      </c>
      <c r="H82" s="1209">
        <f>F88*0.01</f>
        <v>28593</v>
      </c>
      <c r="J82" s="760"/>
    </row>
    <row r="83" spans="1:11" s="690" customFormat="1" ht="15" customHeight="1" x14ac:dyDescent="0.2">
      <c r="A83" s="1198"/>
      <c r="B83" s="1145" t="s">
        <v>1775</v>
      </c>
      <c r="C83" s="1113"/>
      <c r="D83" s="1113"/>
      <c r="E83" s="1208">
        <f>+E56</f>
        <v>0</v>
      </c>
      <c r="F83" s="1113"/>
      <c r="G83" s="1221">
        <v>44317</v>
      </c>
      <c r="H83" s="1209">
        <f>F88*0.01</f>
        <v>28593</v>
      </c>
      <c r="J83" s="760"/>
    </row>
    <row r="84" spans="1:11" s="690" customFormat="1" ht="15" customHeight="1" thickBot="1" x14ac:dyDescent="0.25">
      <c r="A84" s="1198"/>
      <c r="B84" s="1222"/>
      <c r="C84" s="1113"/>
      <c r="D84" s="1113"/>
      <c r="E84" s="1223">
        <f>E82+E83</f>
        <v>3067387.3</v>
      </c>
      <c r="G84" s="1221">
        <v>44348</v>
      </c>
      <c r="H84" s="1209">
        <f t="shared" ref="H84:H89" si="0">$F$92*0.01</f>
        <v>26489</v>
      </c>
      <c r="J84" s="760"/>
    </row>
    <row r="85" spans="1:11" s="690" customFormat="1" ht="15" customHeight="1" thickTop="1" x14ac:dyDescent="0.2">
      <c r="A85" s="1198"/>
      <c r="F85" s="1113"/>
      <c r="G85" s="1221">
        <v>44378</v>
      </c>
      <c r="H85" s="1209">
        <f t="shared" si="0"/>
        <v>26489</v>
      </c>
      <c r="J85" s="760"/>
    </row>
    <row r="86" spans="1:11" s="690" customFormat="1" ht="15" customHeight="1" x14ac:dyDescent="0.2">
      <c r="A86" s="1198"/>
      <c r="B86" s="1113" t="s">
        <v>1750</v>
      </c>
      <c r="C86" s="1219"/>
      <c r="D86" s="1224">
        <v>0.9</v>
      </c>
      <c r="E86" s="1246">
        <f>ROUND(E84*90%,0)</f>
        <v>2760649</v>
      </c>
      <c r="F86" s="1113"/>
      <c r="G86" s="1221">
        <v>44409</v>
      </c>
      <c r="H86" s="1209">
        <f t="shared" si="0"/>
        <v>26489</v>
      </c>
    </row>
    <row r="87" spans="1:11" s="690" customFormat="1" ht="15" customHeight="1" x14ac:dyDescent="0.2">
      <c r="A87" s="1198"/>
      <c r="B87" s="1113" t="s">
        <v>1751</v>
      </c>
      <c r="C87" s="1219"/>
      <c r="D87" s="1113"/>
      <c r="E87" s="1247">
        <f>ROUND(+C79,0)</f>
        <v>208000</v>
      </c>
      <c r="F87" s="1113"/>
      <c r="G87" s="1221">
        <v>44440</v>
      </c>
      <c r="H87" s="1209">
        <f t="shared" si="0"/>
        <v>26489</v>
      </c>
    </row>
    <row r="88" spans="1:11" s="690" customFormat="1" ht="15" customHeight="1" x14ac:dyDescent="0.2">
      <c r="A88" s="1198"/>
      <c r="B88" s="690" t="s">
        <v>1752</v>
      </c>
      <c r="C88" s="1219"/>
      <c r="D88" s="1113"/>
      <c r="E88" s="1208">
        <f>E84-E87</f>
        <v>2859387.3</v>
      </c>
      <c r="F88" s="1208">
        <f>ROUNDDOWN(E88,-2)</f>
        <v>2859300</v>
      </c>
      <c r="G88" s="1221">
        <v>44470</v>
      </c>
      <c r="H88" s="1209">
        <f t="shared" si="0"/>
        <v>26489</v>
      </c>
    </row>
    <row r="89" spans="1:11" s="690" customFormat="1" ht="15" customHeight="1" x14ac:dyDescent="0.2">
      <c r="A89" s="1198"/>
      <c r="B89" s="1241">
        <v>44347</v>
      </c>
      <c r="C89" s="1113" t="s">
        <v>1753</v>
      </c>
      <c r="D89" s="1113"/>
      <c r="E89" s="1227">
        <v>408000</v>
      </c>
      <c r="F89" s="1113"/>
      <c r="G89" s="1221">
        <v>44501</v>
      </c>
      <c r="H89" s="1209">
        <f t="shared" si="0"/>
        <v>26489</v>
      </c>
    </row>
    <row r="90" spans="1:11" s="690" customFormat="1" ht="15" customHeight="1" x14ac:dyDescent="0.2">
      <c r="A90" s="1198"/>
      <c r="C90" s="1240" t="s">
        <v>1754</v>
      </c>
      <c r="E90" s="1227">
        <f>H79+H82+H83</f>
        <v>197526</v>
      </c>
      <c r="F90" s="1113"/>
      <c r="G90" s="1221">
        <v>44531</v>
      </c>
      <c r="H90" s="1209">
        <f t="shared" ref="H90:H91" si="1">$F$92*0.01</f>
        <v>26489</v>
      </c>
      <c r="J90" s="1313" t="s">
        <v>1746</v>
      </c>
      <c r="K90" s="1314" t="s">
        <v>1760</v>
      </c>
    </row>
    <row r="91" spans="1:11" s="690" customFormat="1" ht="15" customHeight="1" x14ac:dyDescent="0.2">
      <c r="A91" s="1198"/>
      <c r="C91" s="1113" t="s">
        <v>1755</v>
      </c>
      <c r="E91" s="1227">
        <f>E89-E90</f>
        <v>210474</v>
      </c>
      <c r="F91" s="1113"/>
      <c r="G91" s="1221">
        <v>44562</v>
      </c>
      <c r="H91" s="1209">
        <f t="shared" si="1"/>
        <v>26489</v>
      </c>
      <c r="J91" s="1315"/>
      <c r="K91" s="1316"/>
    </row>
    <row r="92" spans="1:11" s="690" customFormat="1" ht="15" customHeight="1" x14ac:dyDescent="0.2">
      <c r="A92" s="1198"/>
      <c r="B92" s="690" t="s">
        <v>1756</v>
      </c>
      <c r="C92" s="1113"/>
      <c r="E92" s="1229">
        <f>E88-E91</f>
        <v>2648913.2999999998</v>
      </c>
      <c r="F92" s="1208">
        <f>ROUNDDOWN(E92,-2)</f>
        <v>2648900</v>
      </c>
      <c r="G92" s="1221">
        <v>44593</v>
      </c>
      <c r="H92" s="1209">
        <v>26489</v>
      </c>
      <c r="J92" s="1315">
        <v>44593</v>
      </c>
      <c r="K92" s="1316">
        <v>295587</v>
      </c>
    </row>
    <row r="93" spans="1:11" s="690" customFormat="1" ht="15" customHeight="1" x14ac:dyDescent="0.2">
      <c r="A93" s="1198"/>
      <c r="C93" s="1113"/>
      <c r="E93" s="1227"/>
      <c r="F93" s="1113"/>
      <c r="G93" s="1221">
        <v>44621</v>
      </c>
      <c r="H93" s="1209"/>
      <c r="J93" s="1315">
        <v>44621</v>
      </c>
      <c r="K93" s="1316">
        <f>K92+26489</f>
        <v>322076</v>
      </c>
    </row>
    <row r="94" spans="1:11" s="690" customFormat="1" ht="15" customHeight="1" thickBot="1" x14ac:dyDescent="0.25">
      <c r="A94" s="1198"/>
      <c r="C94" s="1113"/>
      <c r="E94" s="1227"/>
      <c r="F94" s="1113"/>
      <c r="G94" s="1221"/>
      <c r="H94" s="1242">
        <f>SUM(H82:H93)</f>
        <v>295587</v>
      </c>
    </row>
    <row r="95" spans="1:11" s="690" customFormat="1" ht="15" customHeight="1" thickTop="1" thickBot="1" x14ac:dyDescent="0.25">
      <c r="A95" s="1201"/>
      <c r="B95" s="1230"/>
      <c r="C95" s="1216"/>
      <c r="D95" s="1230"/>
      <c r="E95" s="1231"/>
      <c r="F95" s="1232"/>
      <c r="G95" s="1216"/>
      <c r="H95" s="1318" t="s">
        <v>1767</v>
      </c>
      <c r="I95" s="1234"/>
      <c r="J95" s="1311">
        <v>44652</v>
      </c>
      <c r="K95" s="1310">
        <f>K93+26489</f>
        <v>348565</v>
      </c>
    </row>
    <row r="96" spans="1:11" s="690" customFormat="1" ht="15" customHeight="1" x14ac:dyDescent="0.2">
      <c r="A96" s="1198"/>
      <c r="B96" s="1218" t="s">
        <v>1757</v>
      </c>
      <c r="C96" s="1234"/>
      <c r="D96" s="1234"/>
      <c r="E96" s="1234"/>
      <c r="F96" s="1234"/>
      <c r="G96" s="1234"/>
      <c r="H96" s="1234"/>
      <c r="I96" s="1234"/>
      <c r="J96" s="1228"/>
    </row>
    <row r="97" spans="1:11" s="690" customFormat="1" ht="15" customHeight="1" x14ac:dyDescent="0.2">
      <c r="A97" s="1198"/>
      <c r="B97" s="1113" t="s">
        <v>1748</v>
      </c>
      <c r="C97" s="1113"/>
      <c r="D97" s="1113"/>
      <c r="E97" s="1208">
        <f>+E69</f>
        <v>3067387.3</v>
      </c>
      <c r="F97" s="1234"/>
      <c r="G97" s="1113"/>
      <c r="H97" s="1220" t="s">
        <v>584</v>
      </c>
      <c r="I97" s="1234"/>
      <c r="J97" s="1228"/>
    </row>
    <row r="98" spans="1:11" s="690" customFormat="1" ht="15" customHeight="1" x14ac:dyDescent="0.2">
      <c r="A98" s="1198"/>
      <c r="B98" s="1222" t="s">
        <v>1749</v>
      </c>
      <c r="C98" s="1113"/>
      <c r="D98" s="1113"/>
      <c r="E98" s="1208">
        <f>+E56</f>
        <v>0</v>
      </c>
      <c r="F98" s="1234"/>
      <c r="G98" s="1221"/>
    </row>
    <row r="99" spans="1:11" s="690" customFormat="1" ht="15" customHeight="1" x14ac:dyDescent="0.2">
      <c r="A99" s="1198"/>
      <c r="B99" s="1257" t="s">
        <v>1758</v>
      </c>
      <c r="C99" s="1113"/>
      <c r="D99" s="1113"/>
      <c r="E99" s="1208">
        <f>+G53*-1</f>
        <v>-208000</v>
      </c>
      <c r="F99" s="1234"/>
      <c r="G99" s="1221">
        <v>44501</v>
      </c>
      <c r="H99" s="1209">
        <v>26489</v>
      </c>
      <c r="I99" s="1234"/>
    </row>
    <row r="100" spans="1:11" s="690" customFormat="1" ht="15" customHeight="1" x14ac:dyDescent="0.2">
      <c r="A100" s="1198"/>
      <c r="B100" s="1222" t="s">
        <v>1759</v>
      </c>
      <c r="C100" s="1113"/>
      <c r="D100" s="1113"/>
      <c r="E100" s="1213">
        <f>+H79</f>
        <v>140340</v>
      </c>
      <c r="F100" s="1234"/>
      <c r="G100" s="1221">
        <v>44531</v>
      </c>
      <c r="H100" s="1209">
        <v>26489</v>
      </c>
      <c r="I100" s="1234"/>
      <c r="J100" s="1313" t="s">
        <v>1746</v>
      </c>
      <c r="K100" s="1314" t="s">
        <v>1761</v>
      </c>
    </row>
    <row r="101" spans="1:11" s="690" customFormat="1" ht="15" customHeight="1" x14ac:dyDescent="0.2">
      <c r="A101" s="1198"/>
      <c r="B101" s="1222" t="s">
        <v>1776</v>
      </c>
      <c r="C101" s="1113"/>
      <c r="D101" s="1113"/>
      <c r="E101" s="1213">
        <f>+H82+H83</f>
        <v>57186</v>
      </c>
      <c r="F101" s="1234"/>
      <c r="G101" s="1221">
        <v>44562</v>
      </c>
      <c r="H101" s="1209">
        <v>26489</v>
      </c>
      <c r="I101" s="1234"/>
      <c r="J101" s="1315"/>
      <c r="K101" s="1316"/>
    </row>
    <row r="102" spans="1:11" s="690" customFormat="1" ht="15" customHeight="1" x14ac:dyDescent="0.2">
      <c r="A102" s="1198"/>
      <c r="B102" s="1257" t="s">
        <v>1777</v>
      </c>
      <c r="C102" s="1113"/>
      <c r="D102" s="1113"/>
      <c r="E102" s="1213">
        <f>+G54*-1</f>
        <v>-408000</v>
      </c>
      <c r="F102" s="1234"/>
      <c r="G102" s="1221">
        <v>44593</v>
      </c>
      <c r="H102" s="1209">
        <v>26489</v>
      </c>
      <c r="I102" s="1234"/>
      <c r="J102" s="1315">
        <v>44593</v>
      </c>
      <c r="K102" s="1316">
        <v>105956</v>
      </c>
    </row>
    <row r="103" spans="1:11" s="690" customFormat="1" ht="15" customHeight="1" thickBot="1" x14ac:dyDescent="0.25">
      <c r="A103" s="1198"/>
      <c r="E103" s="1223">
        <f>SUM(E97:E102)</f>
        <v>2648913.2999999998</v>
      </c>
      <c r="F103" s="1208">
        <v>2648900</v>
      </c>
      <c r="G103" s="1221">
        <v>44621</v>
      </c>
      <c r="H103" s="1209"/>
      <c r="I103" s="1234"/>
      <c r="J103" s="1315">
        <v>44621</v>
      </c>
      <c r="K103" s="1316">
        <f>K102+26489*2</f>
        <v>158934</v>
      </c>
    </row>
    <row r="104" spans="1:11" ht="14.4" thickTop="1" thickBot="1" x14ac:dyDescent="0.3">
      <c r="H104" s="1242">
        <f>SUM(H99:H103)</f>
        <v>105956</v>
      </c>
    </row>
    <row r="105" spans="1:11" ht="13.8" thickTop="1" x14ac:dyDescent="0.25">
      <c r="H105" s="1312" t="s">
        <v>1767</v>
      </c>
      <c r="I105" s="1072"/>
      <c r="J105" s="1311">
        <v>44652</v>
      </c>
      <c r="K105" s="1310">
        <f>+K103</f>
        <v>158934</v>
      </c>
    </row>
    <row r="106" spans="1:11" ht="13.8" thickBot="1" x14ac:dyDescent="0.3">
      <c r="A106" s="1254"/>
      <c r="B106" s="1255"/>
      <c r="C106" s="1255"/>
      <c r="D106" s="1255"/>
      <c r="E106" s="1255"/>
      <c r="F106" s="1255"/>
      <c r="G106" s="1255"/>
      <c r="H106" s="1255"/>
    </row>
    <row r="107" spans="1:11" ht="13.8" thickTop="1" x14ac:dyDescent="0.25"/>
  </sheetData>
  <mergeCells count="8">
    <mergeCell ref="A58:B58"/>
    <mergeCell ref="A2:H2"/>
    <mergeCell ref="A1:H1"/>
    <mergeCell ref="A3:H3"/>
    <mergeCell ref="A4:H4"/>
    <mergeCell ref="A5:H5"/>
    <mergeCell ref="C53:D53"/>
    <mergeCell ref="C54:D54"/>
  </mergeCells>
  <phoneticPr fontId="16" type="noConversion"/>
  <dataValidations count="1">
    <dataValidation type="list" errorStyle="information" allowBlank="1" showInputMessage="1" showErrorMessage="1" sqref="D7" xr:uid="{6270B83E-1B36-4203-8D7F-0E48AECA0872}">
      <formula1>"SALARY RECEIVED, PENSION RECEIVED"</formula1>
    </dataValidation>
  </dataValidations>
  <hyperlinks>
    <hyperlink ref="A3:H3" r:id="rId1" display="To join the course, click here." xr:uid="{61531374-C823-4C9F-9555-C650442BBBF9}"/>
  </hyperlinks>
  <printOptions horizontalCentered="1" verticalCentered="1"/>
  <pageMargins left="0.39370078740157499" right="0.196850393700787" top="0.196850393700787" bottom="0.196850393700787" header="0" footer="0"/>
  <pageSetup paperSize="9" orientation="portrait" r:id="rId2"/>
  <headerFooter alignWithMargins="0"/>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CC88-FADE-456D-A7DD-2A3EEF4732D5}">
  <sheetPr>
    <pageSetUpPr fitToPage="1"/>
  </sheetPr>
  <dimension ref="A1:H78"/>
  <sheetViews>
    <sheetView showZeros="0" tabSelected="1" topLeftCell="A34" zoomScale="150" zoomScaleNormal="150" workbookViewId="0">
      <selection activeCell="C13" sqref="C13"/>
    </sheetView>
  </sheetViews>
  <sheetFormatPr defaultColWidth="9.109375" defaultRowHeight="13.2" x14ac:dyDescent="0.25"/>
  <cols>
    <col min="1" max="1" width="28.109375" style="1016" customWidth="1"/>
    <col min="2" max="2" width="16.21875" style="1016" customWidth="1"/>
    <col min="3" max="3" width="25.6640625" style="1016" customWidth="1"/>
    <col min="4" max="4" width="16.44140625" style="1016" customWidth="1"/>
    <col min="5" max="16384" width="9.109375" style="1016"/>
  </cols>
  <sheetData>
    <row r="1" spans="1:6" ht="19.8" customHeight="1" x14ac:dyDescent="0.45">
      <c r="A1" s="1346" t="s">
        <v>1730</v>
      </c>
      <c r="B1" s="1346"/>
      <c r="C1" s="1346"/>
      <c r="D1" s="1346"/>
      <c r="E1" s="1167"/>
      <c r="F1" s="1167"/>
    </row>
    <row r="2" spans="1:6" ht="17.399999999999999" customHeight="1" x14ac:dyDescent="0.45">
      <c r="A2" s="1346" t="s">
        <v>1731</v>
      </c>
      <c r="B2" s="1346"/>
      <c r="C2" s="1346"/>
      <c r="D2" s="1346"/>
      <c r="E2" s="1167"/>
      <c r="F2" s="1167"/>
    </row>
    <row r="3" spans="1:6" x14ac:dyDescent="0.25">
      <c r="A3" s="1358" t="s">
        <v>1718</v>
      </c>
      <c r="B3" s="1358"/>
      <c r="C3" s="1358"/>
      <c r="D3" s="1358"/>
    </row>
    <row r="4" spans="1:6" s="1017" customFormat="1" ht="18.75" customHeight="1" x14ac:dyDescent="0.25">
      <c r="A4" s="1359" t="s">
        <v>1725</v>
      </c>
      <c r="B4" s="1359"/>
      <c r="C4" s="1359"/>
      <c r="D4" s="1359"/>
    </row>
    <row r="5" spans="1:6" ht="18" customHeight="1" x14ac:dyDescent="0.25">
      <c r="A5" s="1016" t="s">
        <v>1664</v>
      </c>
      <c r="B5" s="1045">
        <v>890000</v>
      </c>
      <c r="C5" s="1016" t="s">
        <v>1623</v>
      </c>
      <c r="D5" s="1045">
        <v>67000000</v>
      </c>
    </row>
    <row r="6" spans="1:6" ht="16.5" customHeight="1" x14ac:dyDescent="0.25">
      <c r="A6" s="1016" t="s">
        <v>1665</v>
      </c>
      <c r="B6" s="1045">
        <v>48752110</v>
      </c>
      <c r="C6" s="1016" t="s">
        <v>1624</v>
      </c>
      <c r="D6" s="1045">
        <v>3092000</v>
      </c>
    </row>
    <row r="7" spans="1:6" ht="16.5" customHeight="1" x14ac:dyDescent="0.25">
      <c r="A7" s="1016" t="s">
        <v>1625</v>
      </c>
      <c r="B7" s="1045">
        <v>2689000</v>
      </c>
      <c r="C7" s="1016" t="s">
        <v>1663</v>
      </c>
      <c r="D7" s="1045">
        <v>600000</v>
      </c>
    </row>
    <row r="8" spans="1:6" ht="16.5" customHeight="1" x14ac:dyDescent="0.25">
      <c r="A8" s="1016" t="s">
        <v>1626</v>
      </c>
      <c r="B8" s="1045">
        <v>177800</v>
      </c>
    </row>
    <row r="9" spans="1:6" ht="16.5" customHeight="1" x14ac:dyDescent="0.25">
      <c r="A9" s="1149" t="s">
        <v>1610</v>
      </c>
      <c r="B9" s="1140">
        <f>B10-SUM(B5:B8)</f>
        <v>18183090</v>
      </c>
    </row>
    <row r="10" spans="1:6" ht="16.5" customHeight="1" thickBot="1" x14ac:dyDescent="0.3">
      <c r="A10" s="1115"/>
      <c r="B10" s="1116">
        <f>+D10</f>
        <v>70692000</v>
      </c>
      <c r="C10" s="1115"/>
      <c r="D10" s="1116">
        <f>SUM(D5:D9)</f>
        <v>70692000</v>
      </c>
    </row>
    <row r="11" spans="1:6" ht="15" customHeight="1" thickTop="1" x14ac:dyDescent="0.25">
      <c r="A11" s="1016" t="s">
        <v>1628</v>
      </c>
      <c r="B11" s="1045">
        <v>3617890</v>
      </c>
      <c r="C11" s="1128" t="s">
        <v>1627</v>
      </c>
      <c r="D11" s="1140">
        <f>+B9</f>
        <v>18183090</v>
      </c>
    </row>
    <row r="12" spans="1:6" ht="15" customHeight="1" x14ac:dyDescent="0.25">
      <c r="A12" s="1016" t="s">
        <v>1629</v>
      </c>
      <c r="B12" s="1045">
        <v>20000</v>
      </c>
    </row>
    <row r="13" spans="1:6" ht="15" customHeight="1" x14ac:dyDescent="0.25">
      <c r="A13" s="1016" t="s">
        <v>1630</v>
      </c>
      <c r="B13" s="1045">
        <v>578000</v>
      </c>
    </row>
    <row r="14" spans="1:6" ht="15" customHeight="1" x14ac:dyDescent="0.25">
      <c r="A14" s="1016" t="s">
        <v>1631</v>
      </c>
      <c r="B14" s="1045">
        <v>150000</v>
      </c>
    </row>
    <row r="15" spans="1:6" ht="15" customHeight="1" x14ac:dyDescent="0.25">
      <c r="A15" s="1016" t="s">
        <v>1632</v>
      </c>
      <c r="B15" s="1045">
        <v>423000</v>
      </c>
    </row>
    <row r="16" spans="1:6" ht="15" customHeight="1" x14ac:dyDescent="0.25">
      <c r="A16" s="1016" t="s">
        <v>1633</v>
      </c>
      <c r="B16" s="1045">
        <v>615000</v>
      </c>
    </row>
    <row r="17" spans="1:8" ht="15" customHeight="1" x14ac:dyDescent="0.25">
      <c r="A17" s="1016" t="s">
        <v>1634</v>
      </c>
      <c r="B17" s="1045">
        <v>84000</v>
      </c>
    </row>
    <row r="18" spans="1:8" ht="15" customHeight="1" x14ac:dyDescent="0.25">
      <c r="A18" s="1016" t="s">
        <v>1635</v>
      </c>
      <c r="B18" s="1045">
        <v>410000</v>
      </c>
    </row>
    <row r="19" spans="1:8" ht="15" customHeight="1" x14ac:dyDescent="0.25">
      <c r="A19" s="1016" t="s">
        <v>1636</v>
      </c>
      <c r="B19" s="1045">
        <v>1584500</v>
      </c>
    </row>
    <row r="20" spans="1:8" ht="15" customHeight="1" x14ac:dyDescent="0.25">
      <c r="A20" s="1016" t="s">
        <v>1637</v>
      </c>
      <c r="B20" s="1117">
        <v>2674130</v>
      </c>
    </row>
    <row r="21" spans="1:8" ht="15" customHeight="1" x14ac:dyDescent="0.25">
      <c r="B21" s="1118">
        <f>SUM(B11:B20)</f>
        <v>10156520</v>
      </c>
    </row>
    <row r="22" spans="1:8" ht="15" customHeight="1" x14ac:dyDescent="0.25">
      <c r="A22" s="1026" t="s">
        <v>1638</v>
      </c>
      <c r="B22" s="1045">
        <f>B23-B21</f>
        <v>8026570</v>
      </c>
      <c r="C22" s="1119" t="s">
        <v>1541</v>
      </c>
    </row>
    <row r="23" spans="1:8" ht="15" customHeight="1" thickBot="1" x14ac:dyDescent="0.3">
      <c r="A23" s="1115"/>
      <c r="B23" s="1120">
        <f>+D23</f>
        <v>18183090</v>
      </c>
      <c r="C23" s="1121"/>
      <c r="D23" s="1120">
        <f>+D11</f>
        <v>18183090</v>
      </c>
    </row>
    <row r="24" spans="1:8" ht="15" customHeight="1" thickTop="1" thickBot="1" x14ac:dyDescent="0.3">
      <c r="A24" s="1016" t="s">
        <v>1398</v>
      </c>
      <c r="B24" s="1360" t="s">
        <v>1540</v>
      </c>
      <c r="C24" s="1360"/>
      <c r="D24" s="1122" t="s">
        <v>1399</v>
      </c>
      <c r="F24" s="1123" t="s">
        <v>1648</v>
      </c>
      <c r="G24" s="1124" t="s">
        <v>1640</v>
      </c>
      <c r="H24" s="1125" t="s">
        <v>1649</v>
      </c>
    </row>
    <row r="25" spans="1:8" ht="15" customHeight="1" x14ac:dyDescent="0.25">
      <c r="A25" s="594" t="s">
        <v>1702</v>
      </c>
      <c r="B25" s="1053"/>
      <c r="C25" s="1053"/>
      <c r="D25" s="1053"/>
      <c r="F25" s="1129">
        <v>36</v>
      </c>
      <c r="G25" s="1130" t="s">
        <v>1641</v>
      </c>
      <c r="H25" s="1131">
        <v>14</v>
      </c>
    </row>
    <row r="26" spans="1:8" ht="15" customHeight="1" x14ac:dyDescent="0.25">
      <c r="A26" s="1126" t="s">
        <v>1266</v>
      </c>
      <c r="B26" s="1053"/>
      <c r="C26" s="1053"/>
      <c r="D26" s="1053"/>
      <c r="F26" s="1129">
        <v>37</v>
      </c>
      <c r="G26" s="1130" t="s">
        <v>1642</v>
      </c>
      <c r="H26" s="1131">
        <v>15</v>
      </c>
    </row>
    <row r="27" spans="1:8" ht="15" customHeight="1" x14ac:dyDescent="0.25">
      <c r="A27" s="1126" t="s">
        <v>1639</v>
      </c>
      <c r="B27" s="1053"/>
      <c r="C27" s="1127">
        <v>18000</v>
      </c>
      <c r="D27" s="1053">
        <v>17</v>
      </c>
      <c r="F27" s="1129">
        <v>40</v>
      </c>
      <c r="G27" s="1130" t="s">
        <v>1643</v>
      </c>
      <c r="H27" s="1131">
        <v>16</v>
      </c>
    </row>
    <row r="28" spans="1:8" ht="15" customHeight="1" x14ac:dyDescent="0.25">
      <c r="A28" s="594" t="s">
        <v>1703</v>
      </c>
      <c r="B28" s="1128"/>
      <c r="C28" s="1127"/>
      <c r="D28" s="1053"/>
      <c r="F28" s="1129" t="s">
        <v>1644</v>
      </c>
      <c r="G28" s="1130" t="s">
        <v>247</v>
      </c>
      <c r="H28" s="1131">
        <v>17</v>
      </c>
    </row>
    <row r="29" spans="1:8" ht="15" customHeight="1" thickBot="1" x14ac:dyDescent="0.3">
      <c r="A29" s="1126" t="s">
        <v>1489</v>
      </c>
      <c r="B29" s="1128"/>
      <c r="C29" s="1127"/>
      <c r="D29" s="1053"/>
      <c r="F29" s="1129" t="s">
        <v>1645</v>
      </c>
      <c r="G29" s="1130" t="s">
        <v>1646</v>
      </c>
      <c r="H29" s="1131">
        <v>18</v>
      </c>
    </row>
    <row r="30" spans="1:8" ht="15" customHeight="1" thickBot="1" x14ac:dyDescent="0.3">
      <c r="A30" s="1126" t="s">
        <v>1490</v>
      </c>
      <c r="C30" s="1127">
        <f>150000*0.3</f>
        <v>45000</v>
      </c>
      <c r="D30" s="1053">
        <v>16</v>
      </c>
      <c r="F30" s="1123" t="s">
        <v>1648</v>
      </c>
      <c r="G30" s="1124" t="s">
        <v>1640</v>
      </c>
      <c r="H30" s="1125" t="s">
        <v>1650</v>
      </c>
    </row>
    <row r="31" spans="1:8" ht="15" customHeight="1" x14ac:dyDescent="0.25">
      <c r="A31" s="594" t="s">
        <v>1704</v>
      </c>
      <c r="C31" s="1127"/>
      <c r="D31" s="1053"/>
      <c r="F31" s="1129">
        <v>40</v>
      </c>
      <c r="G31" s="1130" t="s">
        <v>198</v>
      </c>
      <c r="H31" s="1131">
        <v>30</v>
      </c>
    </row>
    <row r="32" spans="1:8" ht="15" customHeight="1" thickBot="1" x14ac:dyDescent="0.3">
      <c r="A32" s="1126" t="s">
        <v>1363</v>
      </c>
      <c r="C32" s="1127"/>
      <c r="D32" s="1053"/>
      <c r="F32" s="1132" t="s">
        <v>1645</v>
      </c>
      <c r="G32" s="1133" t="s">
        <v>1647</v>
      </c>
      <c r="H32" s="1134">
        <v>31</v>
      </c>
    </row>
    <row r="33" spans="1:4" ht="15" customHeight="1" x14ac:dyDescent="0.25">
      <c r="A33" s="1126" t="s">
        <v>1265</v>
      </c>
      <c r="C33" s="1127">
        <v>10000</v>
      </c>
      <c r="D33" s="1053">
        <v>15</v>
      </c>
    </row>
    <row r="34" spans="1:4" ht="15" customHeight="1" x14ac:dyDescent="0.25">
      <c r="A34" s="1016" t="s">
        <v>1705</v>
      </c>
      <c r="C34" s="1127"/>
      <c r="D34" s="1053"/>
    </row>
    <row r="35" spans="1:4" ht="15" customHeight="1" x14ac:dyDescent="0.25">
      <c r="A35" s="1126" t="s">
        <v>1375</v>
      </c>
      <c r="B35" s="1135"/>
      <c r="C35" s="1127"/>
      <c r="D35" s="1053"/>
    </row>
    <row r="36" spans="1:4" ht="15" customHeight="1" x14ac:dyDescent="0.25">
      <c r="A36" s="1126" t="s">
        <v>1376</v>
      </c>
      <c r="C36" s="1127">
        <v>300000</v>
      </c>
      <c r="D36" s="1053">
        <v>18</v>
      </c>
    </row>
    <row r="37" spans="1:4" ht="15" customHeight="1" x14ac:dyDescent="0.25">
      <c r="A37" s="1016" t="s">
        <v>1706</v>
      </c>
      <c r="C37" s="1136"/>
      <c r="D37" s="1053"/>
    </row>
    <row r="38" spans="1:4" ht="15" customHeight="1" x14ac:dyDescent="0.25">
      <c r="A38" s="1126" t="s">
        <v>1363</v>
      </c>
      <c r="C38" s="1136"/>
      <c r="D38" s="1053"/>
    </row>
    <row r="39" spans="1:4" ht="15" customHeight="1" x14ac:dyDescent="0.25">
      <c r="A39" s="1126" t="s">
        <v>1377</v>
      </c>
      <c r="C39" s="1136">
        <v>2000</v>
      </c>
      <c r="D39" s="1053">
        <v>15</v>
      </c>
    </row>
    <row r="40" spans="1:4" ht="18" customHeight="1" thickBot="1" x14ac:dyDescent="0.3">
      <c r="C40" s="1120">
        <f>SUM(C27:C39)</f>
        <v>375000</v>
      </c>
    </row>
    <row r="41" spans="1:4" ht="13.8" thickTop="1" x14ac:dyDescent="0.25">
      <c r="A41" s="1361" t="s">
        <v>1269</v>
      </c>
      <c r="B41" s="1361"/>
      <c r="C41" s="1361"/>
      <c r="D41" s="1361"/>
    </row>
    <row r="42" spans="1:4" x14ac:dyDescent="0.25">
      <c r="A42" s="1016" t="s">
        <v>1270</v>
      </c>
      <c r="B42" s="1045">
        <f>+B22</f>
        <v>8026570</v>
      </c>
      <c r="C42" s="1119" t="s">
        <v>1651</v>
      </c>
    </row>
    <row r="43" spans="1:4" ht="15.75" customHeight="1" x14ac:dyDescent="0.25">
      <c r="A43" s="1016" t="s">
        <v>1662</v>
      </c>
      <c r="B43" s="1045">
        <f>+B19</f>
        <v>1584500</v>
      </c>
      <c r="C43" s="1119" t="s">
        <v>1652</v>
      </c>
    </row>
    <row r="44" spans="1:4" ht="15" customHeight="1" x14ac:dyDescent="0.25">
      <c r="A44" s="1016" t="s">
        <v>1272</v>
      </c>
      <c r="B44" s="1140">
        <f>+D72*-1</f>
        <v>-195960</v>
      </c>
      <c r="C44" s="1119" t="s">
        <v>1653</v>
      </c>
    </row>
    <row r="45" spans="1:4" ht="15" customHeight="1" x14ac:dyDescent="0.25">
      <c r="A45" s="1016" t="s">
        <v>1656</v>
      </c>
      <c r="B45" s="1045">
        <f>C33+C39</f>
        <v>12000</v>
      </c>
      <c r="C45" s="1119" t="s">
        <v>1654</v>
      </c>
    </row>
    <row r="46" spans="1:4" ht="15" customHeight="1" x14ac:dyDescent="0.25">
      <c r="A46" s="1016" t="s">
        <v>1657</v>
      </c>
      <c r="B46" s="1045">
        <f>+C30</f>
        <v>45000</v>
      </c>
      <c r="C46" s="1119" t="s">
        <v>1655</v>
      </c>
    </row>
    <row r="47" spans="1:4" ht="15" customHeight="1" x14ac:dyDescent="0.25">
      <c r="A47" s="1016" t="s">
        <v>1659</v>
      </c>
      <c r="B47" s="1045">
        <f>+C27</f>
        <v>18000</v>
      </c>
      <c r="C47" s="1119" t="s">
        <v>1658</v>
      </c>
    </row>
    <row r="48" spans="1:4" ht="15" customHeight="1" x14ac:dyDescent="0.25">
      <c r="A48" s="1016" t="s">
        <v>1660</v>
      </c>
      <c r="B48" s="1045">
        <f>+C36</f>
        <v>300000</v>
      </c>
      <c r="C48" s="1119" t="s">
        <v>1661</v>
      </c>
    </row>
    <row r="49" spans="1:7" ht="15" customHeight="1" thickBot="1" x14ac:dyDescent="0.3">
      <c r="A49" s="1115" t="s">
        <v>1538</v>
      </c>
      <c r="B49" s="1116">
        <f>SUM(B42:B48)</f>
        <v>9790110</v>
      </c>
      <c r="C49" s="1137" t="s">
        <v>1541</v>
      </c>
      <c r="D49" s="1115"/>
    </row>
    <row r="50" spans="1:7" ht="15" customHeight="1" thickTop="1" x14ac:dyDescent="0.25">
      <c r="A50" s="1362" t="s">
        <v>1279</v>
      </c>
      <c r="B50" s="1362"/>
      <c r="C50" s="1362"/>
      <c r="D50" s="1362"/>
    </row>
    <row r="51" spans="1:7" ht="15" customHeight="1" x14ac:dyDescent="0.25">
      <c r="A51" s="1138" t="s">
        <v>1280</v>
      </c>
      <c r="C51" s="1138" t="s">
        <v>1622</v>
      </c>
    </row>
    <row r="52" spans="1:7" ht="15" customHeight="1" x14ac:dyDescent="0.25">
      <c r="A52" s="1016" t="s">
        <v>1612</v>
      </c>
      <c r="B52" s="1045">
        <v>54877800</v>
      </c>
      <c r="C52" s="1281" t="s">
        <v>1615</v>
      </c>
      <c r="D52" s="1045">
        <v>600000</v>
      </c>
    </row>
    <row r="53" spans="1:7" ht="15" customHeight="1" x14ac:dyDescent="0.25">
      <c r="C53" s="1281" t="s">
        <v>1616</v>
      </c>
      <c r="D53" s="1045">
        <v>2636000</v>
      </c>
    </row>
    <row r="54" spans="1:7" ht="15" customHeight="1" x14ac:dyDescent="0.25">
      <c r="C54" s="1016" t="s">
        <v>1613</v>
      </c>
      <c r="D54" s="1045">
        <f>(800000+100000+90000)+(60000+80000+10000)-400+B19</f>
        <v>2724100</v>
      </c>
    </row>
    <row r="55" spans="1:7" ht="15" customHeight="1" x14ac:dyDescent="0.25">
      <c r="C55" s="1016" t="s">
        <v>1614</v>
      </c>
      <c r="D55" s="1140">
        <f>+B19*-1</f>
        <v>-1584500</v>
      </c>
      <c r="E55" s="1141">
        <f>D54+D55</f>
        <v>1139600</v>
      </c>
    </row>
    <row r="56" spans="1:7" ht="15" customHeight="1" x14ac:dyDescent="0.25">
      <c r="C56" s="1016" t="s">
        <v>1617</v>
      </c>
      <c r="D56" s="1045">
        <v>38856000</v>
      </c>
    </row>
    <row r="57" spans="1:7" ht="15" customHeight="1" x14ac:dyDescent="0.25">
      <c r="C57" s="1139" t="s">
        <v>1618</v>
      </c>
      <c r="D57" s="1045">
        <v>11500200</v>
      </c>
    </row>
    <row r="58" spans="1:7" ht="15" customHeight="1" x14ac:dyDescent="0.25">
      <c r="C58" s="1139" t="s">
        <v>1619</v>
      </c>
      <c r="D58" s="1045">
        <v>936000</v>
      </c>
    </row>
    <row r="59" spans="1:7" ht="15" customHeight="1" x14ac:dyDescent="0.25">
      <c r="C59" s="594" t="s">
        <v>1620</v>
      </c>
      <c r="D59" s="1140">
        <v>-790000</v>
      </c>
      <c r="G59" s="1016">
        <f>+E30*-1</f>
        <v>0</v>
      </c>
    </row>
    <row r="60" spans="1:7" ht="15" customHeight="1" thickBot="1" x14ac:dyDescent="0.3">
      <c r="A60" s="1115"/>
      <c r="B60" s="1115">
        <f>+B52</f>
        <v>54877800</v>
      </c>
      <c r="C60" s="1115"/>
      <c r="D60" s="1142">
        <f>SUM(D52:D59)</f>
        <v>54877800</v>
      </c>
    </row>
    <row r="61" spans="1:7" ht="15" customHeight="1" thickTop="1" x14ac:dyDescent="0.25">
      <c r="A61" s="1357" t="s">
        <v>1278</v>
      </c>
      <c r="B61" s="1357"/>
      <c r="C61" s="1357"/>
      <c r="D61" s="1357"/>
    </row>
    <row r="62" spans="1:7" ht="15" customHeight="1" x14ac:dyDescent="0.25">
      <c r="A62" s="595" t="s">
        <v>1707</v>
      </c>
      <c r="B62" s="1143">
        <v>800000</v>
      </c>
      <c r="C62" s="1144">
        <v>0.15</v>
      </c>
      <c r="D62" s="1143">
        <f>B62*C62</f>
        <v>120000</v>
      </c>
    </row>
    <row r="63" spans="1:7" ht="15" customHeight="1" x14ac:dyDescent="0.25">
      <c r="A63" s="595" t="s">
        <v>1487</v>
      </c>
      <c r="B63" s="1143">
        <v>60000</v>
      </c>
      <c r="C63" s="1144">
        <v>0.15</v>
      </c>
      <c r="D63" s="1143">
        <f>B63*C63/2</f>
        <v>4500</v>
      </c>
    </row>
    <row r="64" spans="1:7" ht="15" customHeight="1" x14ac:dyDescent="0.25">
      <c r="A64" s="1113" t="s">
        <v>1488</v>
      </c>
      <c r="B64" s="1143">
        <v>60000</v>
      </c>
      <c r="C64" s="1144">
        <v>0.2</v>
      </c>
      <c r="D64" s="1143">
        <f>B64*C64/2</f>
        <v>6000</v>
      </c>
    </row>
    <row r="65" spans="1:4" ht="15" customHeight="1" x14ac:dyDescent="0.25">
      <c r="A65" s="595"/>
      <c r="B65" s="1143"/>
      <c r="C65" s="1144"/>
      <c r="D65" s="1143"/>
    </row>
    <row r="66" spans="1:4" ht="15" customHeight="1" x14ac:dyDescent="0.25">
      <c r="A66" s="595" t="s">
        <v>1708</v>
      </c>
      <c r="B66" s="1143">
        <v>100000</v>
      </c>
      <c r="C66" s="1144">
        <v>0.4</v>
      </c>
      <c r="D66" s="1143">
        <f>B66*C66</f>
        <v>40000</v>
      </c>
    </row>
    <row r="67" spans="1:4" ht="15" customHeight="1" x14ac:dyDescent="0.25">
      <c r="A67" s="1145" t="s">
        <v>1486</v>
      </c>
      <c r="B67" s="1143">
        <v>80000</v>
      </c>
      <c r="C67" s="1144">
        <v>0.4</v>
      </c>
      <c r="D67" s="1143">
        <f>B67*C67/2</f>
        <v>16000</v>
      </c>
    </row>
    <row r="68" spans="1:4" ht="15" customHeight="1" x14ac:dyDescent="0.25">
      <c r="A68" s="595"/>
      <c r="B68" s="1143"/>
      <c r="C68" s="1144"/>
      <c r="D68" s="1143"/>
    </row>
    <row r="69" spans="1:4" ht="15" customHeight="1" x14ac:dyDescent="0.25">
      <c r="A69" s="595" t="s">
        <v>1709</v>
      </c>
      <c r="B69" s="1143">
        <v>89600</v>
      </c>
      <c r="C69" s="1144">
        <v>0.1</v>
      </c>
      <c r="D69" s="1143">
        <f>B69*C69</f>
        <v>8960</v>
      </c>
    </row>
    <row r="70" spans="1:4" ht="15" customHeight="1" x14ac:dyDescent="0.25">
      <c r="A70" s="1146" t="s">
        <v>1710</v>
      </c>
      <c r="B70" s="1143"/>
      <c r="C70" s="1144"/>
      <c r="D70" s="1143"/>
    </row>
    <row r="71" spans="1:4" ht="15" customHeight="1" x14ac:dyDescent="0.25">
      <c r="A71" s="595" t="s">
        <v>1621</v>
      </c>
      <c r="B71" s="1143">
        <v>10000</v>
      </c>
      <c r="C71" s="1144">
        <v>0.1</v>
      </c>
      <c r="D71" s="1143">
        <f>B71*C71/2</f>
        <v>500</v>
      </c>
    </row>
    <row r="72" spans="1:4" ht="15" customHeight="1" thickBot="1" x14ac:dyDescent="0.3">
      <c r="A72" s="595"/>
      <c r="B72" s="1143"/>
      <c r="C72" s="595"/>
      <c r="D72" s="1148">
        <f>SUM(D62:D71)</f>
        <v>195960</v>
      </c>
    </row>
    <row r="73" spans="1:4" ht="15" customHeight="1" thickTop="1" x14ac:dyDescent="0.25">
      <c r="A73" s="1026" t="s">
        <v>1368</v>
      </c>
      <c r="B73" s="1147"/>
      <c r="C73" s="1026" t="s">
        <v>1369</v>
      </c>
      <c r="D73" s="1147"/>
    </row>
    <row r="74" spans="1:4" ht="15" customHeight="1" x14ac:dyDescent="0.25">
      <c r="A74" s="1026" t="s">
        <v>1400</v>
      </c>
      <c r="B74" s="1147"/>
      <c r="C74" s="1016" t="s">
        <v>1370</v>
      </c>
      <c r="D74" s="1147"/>
    </row>
    <row r="75" spans="1:4" ht="15" customHeight="1" x14ac:dyDescent="0.25">
      <c r="A75" s="1016" t="s">
        <v>1544</v>
      </c>
    </row>
    <row r="76" spans="1:4" ht="15" customHeight="1" x14ac:dyDescent="0.25">
      <c r="D76" s="1114"/>
    </row>
    <row r="77" spans="1:4" ht="12.75" customHeight="1" x14ac:dyDescent="0.25"/>
    <row r="78" spans="1:4" ht="18" customHeight="1" x14ac:dyDescent="0.25"/>
  </sheetData>
  <mergeCells count="8">
    <mergeCell ref="A61:D61"/>
    <mergeCell ref="A1:D1"/>
    <mergeCell ref="A3:D3"/>
    <mergeCell ref="A4:D4"/>
    <mergeCell ref="B24:C24"/>
    <mergeCell ref="A41:D41"/>
    <mergeCell ref="A50:D50"/>
    <mergeCell ref="A2:D2"/>
  </mergeCells>
  <hyperlinks>
    <hyperlink ref="A3:D3" r:id="rId1" display="To join the course: https://www.edfolio.in/courses/e-filing-tax-returns" xr:uid="{4654A8BE-59DC-40D6-8B8F-6D856CB0AEC9}"/>
  </hyperlinks>
  <printOptions horizontalCentered="1" verticalCentered="1"/>
  <pageMargins left="0.39370078740157483" right="0.19685039370078741" top="0.19685039370078741" bottom="0.19685039370078741" header="0" footer="0"/>
  <pageSetup paperSize="9" scale="74" orientation="portrait" r:id="rId2"/>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25"/>
  <sheetViews>
    <sheetView showZeros="0" zoomScale="130" zoomScaleNormal="130" workbookViewId="0">
      <selection activeCell="A6" sqref="A6"/>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9.88671875" style="416" customWidth="1"/>
    <col min="13" max="13" width="10.44140625" style="416" customWidth="1"/>
    <col min="14" max="14" width="11.33203125" style="416" customWidth="1"/>
    <col min="15" max="16384" width="9.109375" style="416"/>
  </cols>
  <sheetData>
    <row r="1" spans="1:12" s="413" customFormat="1" ht="17.399999999999999" customHeight="1" x14ac:dyDescent="0.3">
      <c r="A1" s="1346" t="s">
        <v>1730</v>
      </c>
      <c r="B1" s="1346"/>
      <c r="C1" s="1346"/>
      <c r="D1" s="1346"/>
      <c r="E1" s="1346"/>
      <c r="F1" s="1346"/>
      <c r="G1" s="1346"/>
      <c r="H1" s="1346"/>
      <c r="K1" s="878" t="s">
        <v>1491</v>
      </c>
      <c r="L1" s="879" t="s">
        <v>1525</v>
      </c>
    </row>
    <row r="2" spans="1:12" s="413" customFormat="1" ht="15.6" customHeight="1" thickBot="1" x14ac:dyDescent="0.35">
      <c r="A2" s="1345" t="s">
        <v>1731</v>
      </c>
      <c r="B2" s="1345"/>
      <c r="C2" s="1345"/>
      <c r="D2" s="1345"/>
      <c r="E2" s="1345"/>
      <c r="F2" s="1345"/>
      <c r="G2" s="1345"/>
      <c r="H2" s="1345"/>
      <c r="K2" s="880" t="s">
        <v>1492</v>
      </c>
      <c r="L2" s="881">
        <v>100</v>
      </c>
    </row>
    <row r="3" spans="1:12" s="413" customFormat="1" ht="18.75" customHeight="1" thickBot="1" x14ac:dyDescent="0.3">
      <c r="A3" s="1347" t="s">
        <v>1718</v>
      </c>
      <c r="B3" s="1348"/>
      <c r="C3" s="1348"/>
      <c r="D3" s="1348"/>
      <c r="E3" s="1348"/>
      <c r="F3" s="1348"/>
      <c r="G3" s="1348"/>
      <c r="H3" s="1349"/>
      <c r="K3" s="880" t="s">
        <v>1493</v>
      </c>
      <c r="L3" s="881">
        <v>105</v>
      </c>
    </row>
    <row r="4" spans="1:12" s="413" customFormat="1" ht="18.75" customHeight="1" x14ac:dyDescent="0.25">
      <c r="A4" s="1350" t="s">
        <v>1729</v>
      </c>
      <c r="B4" s="1351"/>
      <c r="C4" s="1351"/>
      <c r="D4" s="1351"/>
      <c r="E4" s="1351"/>
      <c r="F4" s="1351"/>
      <c r="G4" s="1351"/>
      <c r="H4" s="1352"/>
      <c r="K4" s="880" t="s">
        <v>1494</v>
      </c>
      <c r="L4" s="881">
        <v>109</v>
      </c>
    </row>
    <row r="5" spans="1:12" ht="18" customHeight="1" thickBot="1" x14ac:dyDescent="0.3">
      <c r="A5" s="1353" t="s">
        <v>1720</v>
      </c>
      <c r="B5" s="1354"/>
      <c r="C5" s="1354"/>
      <c r="D5" s="1354"/>
      <c r="E5" s="1354"/>
      <c r="F5" s="1354"/>
      <c r="G5" s="1354"/>
      <c r="H5" s="1355"/>
      <c r="J5" s="939"/>
      <c r="K5" s="880" t="s">
        <v>1495</v>
      </c>
      <c r="L5" s="881">
        <v>113</v>
      </c>
    </row>
    <row r="6" spans="1:12" ht="16.5" customHeight="1" x14ac:dyDescent="0.25">
      <c r="A6" s="417"/>
      <c r="B6" s="418" t="s">
        <v>994</v>
      </c>
      <c r="C6" s="419"/>
      <c r="D6" s="419"/>
      <c r="E6" s="419"/>
      <c r="F6" s="419"/>
      <c r="G6" s="419"/>
      <c r="H6" s="1150" t="s">
        <v>1013</v>
      </c>
      <c r="J6" s="939"/>
      <c r="K6" s="880" t="s">
        <v>1496</v>
      </c>
      <c r="L6" s="881">
        <v>117</v>
      </c>
    </row>
    <row r="7" spans="1:12" ht="15" customHeight="1" x14ac:dyDescent="0.25">
      <c r="A7" s="420"/>
      <c r="B7" s="421"/>
      <c r="C7" s="422" t="s">
        <v>567</v>
      </c>
      <c r="D7" s="422"/>
      <c r="E7" s="431"/>
      <c r="F7" s="423"/>
      <c r="G7" s="411"/>
      <c r="H7" s="1151"/>
      <c r="J7" s="939"/>
      <c r="K7" s="880" t="s">
        <v>1497</v>
      </c>
      <c r="L7" s="881">
        <v>122</v>
      </c>
    </row>
    <row r="8" spans="1:12" ht="15" customHeight="1" x14ac:dyDescent="0.25">
      <c r="A8" s="420"/>
      <c r="B8" s="415"/>
      <c r="C8" s="408" t="s">
        <v>848</v>
      </c>
      <c r="D8" s="415"/>
      <c r="E8" s="415"/>
      <c r="F8" s="415"/>
      <c r="G8" s="523"/>
      <c r="H8" s="1151">
        <f>SUM(G7:G8)</f>
        <v>0</v>
      </c>
      <c r="J8" s="711"/>
      <c r="K8" s="880" t="s">
        <v>1498</v>
      </c>
      <c r="L8" s="881">
        <v>129</v>
      </c>
    </row>
    <row r="9" spans="1:12" ht="15" customHeight="1" x14ac:dyDescent="0.25">
      <c r="A9" s="420"/>
      <c r="B9" s="426" t="s">
        <v>995</v>
      </c>
      <c r="C9" s="415"/>
      <c r="D9" s="415"/>
      <c r="E9" s="525" t="s">
        <v>1014</v>
      </c>
      <c r="F9" s="423"/>
      <c r="G9" s="415"/>
      <c r="H9" s="1151"/>
      <c r="J9" s="711"/>
      <c r="K9" s="880" t="s">
        <v>1499</v>
      </c>
      <c r="L9" s="881">
        <v>137</v>
      </c>
    </row>
    <row r="10" spans="1:12" ht="15" customHeight="1" x14ac:dyDescent="0.25">
      <c r="A10" s="420"/>
      <c r="B10" s="426"/>
      <c r="C10" s="583" t="s">
        <v>1164</v>
      </c>
      <c r="D10" s="422"/>
      <c r="E10" s="672"/>
      <c r="F10" s="679"/>
      <c r="G10" s="411">
        <v>900000</v>
      </c>
      <c r="H10" s="1151"/>
      <c r="J10" s="711"/>
      <c r="K10" s="880" t="s">
        <v>1500</v>
      </c>
      <c r="L10" s="881">
        <v>148</v>
      </c>
    </row>
    <row r="11" spans="1:12" ht="15" customHeight="1" x14ac:dyDescent="0.25">
      <c r="A11" s="420"/>
      <c r="B11" s="426"/>
      <c r="C11" s="408" t="s">
        <v>769</v>
      </c>
      <c r="D11" s="415"/>
      <c r="E11" s="408"/>
      <c r="F11" s="701"/>
      <c r="G11" s="479">
        <v>20000</v>
      </c>
      <c r="H11" s="1151"/>
      <c r="J11" s="711"/>
      <c r="K11" s="880" t="s">
        <v>1501</v>
      </c>
      <c r="L11" s="881">
        <v>167</v>
      </c>
    </row>
    <row r="12" spans="1:12" ht="15" customHeight="1" x14ac:dyDescent="0.25">
      <c r="A12" s="420"/>
      <c r="B12" s="426"/>
      <c r="C12" s="408"/>
      <c r="D12" s="415"/>
      <c r="E12" s="408"/>
      <c r="F12" s="415"/>
      <c r="G12" s="423">
        <f>IF((G10-G11)&lt;0,0,(G10-G11))</f>
        <v>880000</v>
      </c>
      <c r="H12" s="1151"/>
      <c r="J12" s="711"/>
      <c r="K12" s="880" t="s">
        <v>1502</v>
      </c>
      <c r="L12" s="881">
        <v>184</v>
      </c>
    </row>
    <row r="13" spans="1:12" ht="15" customHeight="1" x14ac:dyDescent="0.25">
      <c r="A13" s="420"/>
      <c r="B13" s="426"/>
      <c r="C13" s="590" t="s">
        <v>514</v>
      </c>
      <c r="D13" s="415"/>
      <c r="E13" s="408" t="s">
        <v>1484</v>
      </c>
      <c r="F13" s="415">
        <f>G12*0.3</f>
        <v>264000</v>
      </c>
      <c r="G13" s="423"/>
      <c r="H13" s="1151"/>
      <c r="J13" s="711"/>
      <c r="K13" s="880" t="s">
        <v>1503</v>
      </c>
      <c r="L13" s="881">
        <v>200</v>
      </c>
    </row>
    <row r="14" spans="1:12" ht="15" customHeight="1" x14ac:dyDescent="0.3">
      <c r="A14" s="420"/>
      <c r="B14" s="426"/>
      <c r="C14" s="415"/>
      <c r="D14" s="415"/>
      <c r="E14" s="869" t="s">
        <v>1513</v>
      </c>
      <c r="F14" s="681">
        <v>1000000</v>
      </c>
      <c r="G14" s="592">
        <f>F13+F14</f>
        <v>1264000</v>
      </c>
      <c r="H14" s="1151"/>
      <c r="J14" s="711"/>
      <c r="K14" s="880" t="s">
        <v>1504</v>
      </c>
      <c r="L14" s="881">
        <v>220</v>
      </c>
    </row>
    <row r="15" spans="1:12" ht="15" customHeight="1" x14ac:dyDescent="0.3">
      <c r="A15" s="420"/>
      <c r="B15" s="426"/>
      <c r="C15" s="415"/>
      <c r="D15" s="415"/>
      <c r="E15" s="869"/>
      <c r="F15" s="415"/>
      <c r="G15" s="866">
        <f>G12-G14</f>
        <v>-384000</v>
      </c>
      <c r="H15" s="1151"/>
      <c r="J15" s="711"/>
      <c r="K15" s="880" t="s">
        <v>1384</v>
      </c>
      <c r="L15" s="881">
        <v>240</v>
      </c>
    </row>
    <row r="16" spans="1:12" ht="15" customHeight="1" x14ac:dyDescent="0.3">
      <c r="A16" s="420"/>
      <c r="B16" s="426"/>
      <c r="C16" s="415"/>
      <c r="D16" s="637" t="s">
        <v>1587</v>
      </c>
      <c r="E16" s="923"/>
      <c r="F16" s="637"/>
      <c r="G16" s="924">
        <v>184000</v>
      </c>
      <c r="H16" s="1151">
        <f>G15+G16</f>
        <v>-200000</v>
      </c>
      <c r="J16" s="711"/>
      <c r="K16" s="880" t="s">
        <v>1380</v>
      </c>
      <c r="L16" s="881">
        <v>254</v>
      </c>
    </row>
    <row r="17" spans="1:14" ht="15" customHeight="1" x14ac:dyDescent="0.25">
      <c r="A17" s="420"/>
      <c r="B17" s="421" t="s">
        <v>996</v>
      </c>
      <c r="C17" s="408"/>
      <c r="D17" s="415"/>
      <c r="E17" s="429"/>
      <c r="F17" s="415"/>
      <c r="G17" s="415"/>
      <c r="H17" s="1151"/>
      <c r="K17" s="880" t="s">
        <v>1070</v>
      </c>
      <c r="L17" s="881">
        <v>264</v>
      </c>
    </row>
    <row r="18" spans="1:14" ht="15" customHeight="1" x14ac:dyDescent="0.3">
      <c r="A18" s="420"/>
      <c r="B18" s="421"/>
      <c r="C18" s="1030" t="s">
        <v>1768</v>
      </c>
      <c r="D18" s="415"/>
      <c r="F18" s="922" t="s">
        <v>1769</v>
      </c>
      <c r="G18" s="415"/>
      <c r="H18" s="1151"/>
      <c r="K18" s="880" t="s">
        <v>1505</v>
      </c>
      <c r="L18" s="881">
        <v>272</v>
      </c>
    </row>
    <row r="19" spans="1:14" ht="15" customHeight="1" x14ac:dyDescent="0.3">
      <c r="A19" s="420"/>
      <c r="B19" s="421"/>
      <c r="C19" s="1195" t="s">
        <v>1770</v>
      </c>
      <c r="D19" s="415"/>
      <c r="E19" s="922"/>
      <c r="F19" s="415"/>
      <c r="G19" s="415"/>
      <c r="H19" s="1151"/>
      <c r="K19" s="880" t="s">
        <v>1524</v>
      </c>
      <c r="L19" s="881">
        <v>280</v>
      </c>
    </row>
    <row r="20" spans="1:14" ht="15" customHeight="1" x14ac:dyDescent="0.3">
      <c r="A20" s="420"/>
      <c r="B20" s="421"/>
      <c r="C20" s="672" t="s">
        <v>1771</v>
      </c>
      <c r="D20" s="415"/>
      <c r="E20" s="922"/>
      <c r="F20" s="415"/>
      <c r="G20" s="415"/>
      <c r="H20" s="1151"/>
      <c r="K20" s="880" t="s">
        <v>1726</v>
      </c>
      <c r="L20" s="881">
        <v>289</v>
      </c>
    </row>
    <row r="21" spans="1:14" ht="15" customHeight="1" x14ac:dyDescent="0.25">
      <c r="A21" s="420"/>
      <c r="B21" s="415"/>
      <c r="C21" s="408" t="s">
        <v>1390</v>
      </c>
      <c r="D21" s="415"/>
      <c r="E21" s="698"/>
      <c r="F21" s="455" t="e">
        <f>+#REF!</f>
        <v>#REF!</v>
      </c>
      <c r="G21" s="415"/>
      <c r="H21" s="1151"/>
      <c r="K21" s="880" t="s">
        <v>1727</v>
      </c>
      <c r="L21" s="881">
        <v>301</v>
      </c>
    </row>
    <row r="22" spans="1:14" ht="15" customHeight="1" thickBot="1" x14ac:dyDescent="0.3">
      <c r="A22" s="420"/>
      <c r="B22" s="415"/>
      <c r="C22" s="697" t="s">
        <v>1388</v>
      </c>
      <c r="D22" s="415"/>
      <c r="E22" s="698"/>
      <c r="F22" s="415" t="e">
        <f>+#REF!</f>
        <v>#REF!</v>
      </c>
      <c r="G22" s="415"/>
      <c r="H22" s="1151"/>
      <c r="K22" s="882" t="s">
        <v>1728</v>
      </c>
      <c r="L22" s="883">
        <v>317</v>
      </c>
    </row>
    <row r="23" spans="1:14" ht="15" customHeight="1" x14ac:dyDescent="0.25">
      <c r="A23" s="420"/>
      <c r="B23" s="415"/>
      <c r="D23" s="415"/>
      <c r="E23" s="857" t="s">
        <v>1389</v>
      </c>
      <c r="F23" s="866" t="e">
        <f>+#REF!</f>
        <v>#REF!</v>
      </c>
      <c r="G23" s="415"/>
      <c r="H23" s="1151"/>
    </row>
    <row r="24" spans="1:14" ht="15" customHeight="1" x14ac:dyDescent="0.25">
      <c r="A24" s="420"/>
      <c r="B24" s="415"/>
      <c r="C24" s="697" t="s">
        <v>1738</v>
      </c>
      <c r="D24" s="415"/>
      <c r="E24" s="698"/>
      <c r="F24" s="455">
        <v>520000</v>
      </c>
      <c r="G24" s="415"/>
      <c r="H24" s="1151"/>
    </row>
    <row r="25" spans="1:14" ht="15" customHeight="1" x14ac:dyDescent="0.25">
      <c r="A25" s="420"/>
      <c r="B25" s="408"/>
      <c r="D25" s="697"/>
      <c r="E25" s="697" t="s">
        <v>1739</v>
      </c>
      <c r="F25" s="865">
        <v>-1223850</v>
      </c>
      <c r="G25" s="836" t="e">
        <f>F21+F22+F23+F24+F25</f>
        <v>#REF!</v>
      </c>
      <c r="H25" s="1152" t="e">
        <f>+G25</f>
        <v>#REF!</v>
      </c>
    </row>
    <row r="26" spans="1:14" ht="15" customHeight="1" x14ac:dyDescent="0.3">
      <c r="A26" s="420"/>
      <c r="B26" s="421" t="s">
        <v>997</v>
      </c>
      <c r="C26" s="415"/>
      <c r="D26" s="415"/>
      <c r="E26" s="415"/>
      <c r="F26" s="415"/>
      <c r="G26" s="415"/>
      <c r="H26" s="1151"/>
      <c r="K26" s="864"/>
      <c r="L26" s="756"/>
    </row>
    <row r="27" spans="1:14" ht="15" customHeight="1" x14ac:dyDescent="0.25">
      <c r="A27" s="420"/>
      <c r="B27" s="421"/>
      <c r="C27" s="408" t="s">
        <v>498</v>
      </c>
      <c r="D27" s="415"/>
      <c r="E27" s="415"/>
      <c r="F27" s="415"/>
      <c r="G27" s="415"/>
      <c r="H27" s="1151"/>
      <c r="J27" s="416" t="s">
        <v>1737</v>
      </c>
      <c r="N27" s="940" t="s">
        <v>1668</v>
      </c>
    </row>
    <row r="28" spans="1:14" ht="17.25" customHeight="1" x14ac:dyDescent="0.25">
      <c r="A28" s="420"/>
      <c r="B28" s="415"/>
      <c r="C28" s="435" t="s">
        <v>77</v>
      </c>
      <c r="D28" s="415"/>
      <c r="E28" s="408"/>
      <c r="F28" s="415"/>
      <c r="G28" s="415"/>
      <c r="H28" s="1151"/>
      <c r="J28" s="1172" t="s">
        <v>1530</v>
      </c>
      <c r="K28" s="1173">
        <v>43961</v>
      </c>
      <c r="L28" s="1174"/>
      <c r="M28" s="1175">
        <v>1800000</v>
      </c>
      <c r="N28" s="940">
        <v>301</v>
      </c>
    </row>
    <row r="29" spans="1:14" ht="15.75" customHeight="1" x14ac:dyDescent="0.25">
      <c r="A29" s="420"/>
      <c r="B29" s="846">
        <v>43961</v>
      </c>
      <c r="C29" s="953" t="s">
        <v>1530</v>
      </c>
      <c r="D29" s="415" t="s">
        <v>1512</v>
      </c>
      <c r="E29" s="415"/>
      <c r="F29" s="411">
        <f>+M28</f>
        <v>1800000</v>
      </c>
      <c r="G29" s="415"/>
      <c r="H29" s="1151"/>
      <c r="J29" s="1176" t="s">
        <v>1506</v>
      </c>
      <c r="K29" s="944" t="s">
        <v>1727</v>
      </c>
      <c r="L29" s="788"/>
      <c r="M29" s="1177">
        <v>90000</v>
      </c>
      <c r="N29" s="940">
        <v>301</v>
      </c>
    </row>
    <row r="30" spans="1:14" ht="15.75" customHeight="1" x14ac:dyDescent="0.25">
      <c r="A30" s="420"/>
      <c r="B30" s="428"/>
      <c r="C30" s="415"/>
      <c r="D30" s="697" t="s">
        <v>1531</v>
      </c>
      <c r="E30" s="411">
        <f>+M29</f>
        <v>90000</v>
      </c>
      <c r="F30" s="415"/>
      <c r="G30" s="415"/>
      <c r="H30" s="1151"/>
      <c r="J30" s="1178" t="s">
        <v>1666</v>
      </c>
      <c r="K30" s="1190">
        <v>37057</v>
      </c>
      <c r="L30" s="862"/>
      <c r="M30" s="1179">
        <v>50000</v>
      </c>
      <c r="N30" s="940">
        <v>100</v>
      </c>
    </row>
    <row r="31" spans="1:14" ht="15.75" customHeight="1" x14ac:dyDescent="0.25">
      <c r="A31" s="420"/>
      <c r="B31" s="889"/>
      <c r="C31" s="456" t="s">
        <v>1732</v>
      </c>
      <c r="D31" s="697" t="s">
        <v>1532</v>
      </c>
      <c r="E31" s="411">
        <f>M30*N29/N30</f>
        <v>150500</v>
      </c>
      <c r="F31" s="415"/>
      <c r="G31" s="415"/>
      <c r="H31" s="1151"/>
      <c r="J31" s="1178" t="s">
        <v>1382</v>
      </c>
      <c r="K31" s="1190">
        <v>37422</v>
      </c>
      <c r="L31" s="862"/>
      <c r="M31" s="1179">
        <v>12000</v>
      </c>
      <c r="N31" s="940">
        <v>105</v>
      </c>
    </row>
    <row r="32" spans="1:14" ht="15.75" customHeight="1" x14ac:dyDescent="0.25">
      <c r="A32" s="420"/>
      <c r="B32" s="1365">
        <f>E32+E33</f>
        <v>644535</v>
      </c>
      <c r="C32" s="456" t="s">
        <v>1733</v>
      </c>
      <c r="D32" s="432" t="s">
        <v>1533</v>
      </c>
      <c r="E32" s="411">
        <f>M31*N29/N31</f>
        <v>34400</v>
      </c>
      <c r="F32" s="415"/>
      <c r="G32" s="415"/>
      <c r="H32" s="1151"/>
      <c r="J32" s="1178" t="s">
        <v>1383</v>
      </c>
      <c r="K32" s="1190">
        <v>39979</v>
      </c>
      <c r="L32" s="862"/>
      <c r="M32" s="1179">
        <v>300000</v>
      </c>
      <c r="N32" s="940">
        <v>148</v>
      </c>
    </row>
    <row r="33" spans="1:14" ht="15.75" customHeight="1" x14ac:dyDescent="0.25">
      <c r="A33" s="420"/>
      <c r="B33" s="1365"/>
      <c r="C33" s="456" t="s">
        <v>1734</v>
      </c>
      <c r="D33" s="432" t="s">
        <v>1533</v>
      </c>
      <c r="E33" s="479">
        <f>ROUND(300000*301/148,0)</f>
        <v>610135</v>
      </c>
      <c r="F33" s="681">
        <f>SUM(E30:E33)</f>
        <v>885035</v>
      </c>
      <c r="G33" s="885"/>
      <c r="H33" s="1151"/>
      <c r="J33" s="1180" t="s">
        <v>1667</v>
      </c>
      <c r="K33" s="942">
        <v>44447</v>
      </c>
      <c r="L33" s="946"/>
      <c r="M33" s="1181">
        <v>10000</v>
      </c>
      <c r="N33" s="1168">
        <v>44561</v>
      </c>
    </row>
    <row r="34" spans="1:14" ht="15.75" customHeight="1" x14ac:dyDescent="0.25">
      <c r="A34" s="420"/>
      <c r="B34" s="428"/>
      <c r="C34" s="456"/>
      <c r="D34" s="432"/>
      <c r="E34" s="524" t="s">
        <v>1735</v>
      </c>
      <c r="F34" s="416">
        <f>F29-F33</f>
        <v>914965</v>
      </c>
      <c r="G34" s="885"/>
      <c r="H34" s="1151"/>
      <c r="J34" s="1182" t="s">
        <v>1669</v>
      </c>
      <c r="K34" s="1183">
        <v>43952</v>
      </c>
      <c r="L34" s="1184"/>
      <c r="M34" s="1185">
        <v>800000</v>
      </c>
      <c r="N34" s="940" t="s">
        <v>1670</v>
      </c>
    </row>
    <row r="35" spans="1:14" ht="15.75" customHeight="1" thickBot="1" x14ac:dyDescent="0.3">
      <c r="A35" s="420"/>
      <c r="B35" s="428"/>
      <c r="C35" s="456"/>
      <c r="E35" s="1191" t="s">
        <v>1742</v>
      </c>
      <c r="F35" s="477">
        <v>10000</v>
      </c>
      <c r="G35" s="1188">
        <f>F34-F35</f>
        <v>904965</v>
      </c>
      <c r="H35" s="1151"/>
      <c r="J35" s="423"/>
      <c r="K35" s="1169"/>
      <c r="L35" s="1170"/>
      <c r="M35" s="1171"/>
      <c r="N35" s="1168"/>
    </row>
    <row r="36" spans="1:14" ht="15.75" customHeight="1" thickBot="1" x14ac:dyDescent="0.3">
      <c r="A36" s="420"/>
      <c r="B36" s="428"/>
      <c r="C36" s="456"/>
      <c r="E36" s="697"/>
      <c r="F36" s="415"/>
      <c r="G36" s="885"/>
      <c r="H36" s="1151"/>
      <c r="N36" s="940" t="s">
        <v>1668</v>
      </c>
    </row>
    <row r="37" spans="1:14" ht="21" customHeight="1" x14ac:dyDescent="0.3">
      <c r="A37" s="420"/>
      <c r="B37" s="846">
        <v>43941</v>
      </c>
      <c r="C37" s="953" t="s">
        <v>1210</v>
      </c>
      <c r="D37" s="415" t="s">
        <v>1512</v>
      </c>
      <c r="E37" s="415"/>
      <c r="F37" s="892">
        <f>+M37</f>
        <v>8000000</v>
      </c>
      <c r="G37" s="423"/>
      <c r="H37" s="1151"/>
      <c r="J37" s="943" t="s">
        <v>1507</v>
      </c>
      <c r="K37" s="1186">
        <v>43941</v>
      </c>
      <c r="L37" s="785"/>
      <c r="M37" s="786">
        <v>8000000</v>
      </c>
      <c r="N37" s="940">
        <v>301</v>
      </c>
    </row>
    <row r="38" spans="1:14" ht="16.2" customHeight="1" x14ac:dyDescent="0.25">
      <c r="A38" s="420"/>
      <c r="B38" s="846"/>
      <c r="C38" s="408"/>
      <c r="D38" s="697" t="s">
        <v>1531</v>
      </c>
      <c r="E38" s="892">
        <f>+M38</f>
        <v>1000</v>
      </c>
      <c r="F38" s="415"/>
      <c r="G38" s="423"/>
      <c r="H38" s="1151"/>
      <c r="J38" s="945" t="s">
        <v>1506</v>
      </c>
      <c r="K38" s="788"/>
      <c r="L38" s="788"/>
      <c r="M38" s="789">
        <v>1000</v>
      </c>
      <c r="N38" s="940">
        <v>301</v>
      </c>
    </row>
    <row r="39" spans="1:14" ht="15.75" customHeight="1" x14ac:dyDescent="0.25">
      <c r="A39" s="420"/>
      <c r="B39" s="889"/>
      <c r="C39" s="456" t="s">
        <v>1736</v>
      </c>
      <c r="D39" s="697" t="s">
        <v>1532</v>
      </c>
      <c r="E39" s="947">
        <f>M40*N37/N40</f>
        <v>2739100</v>
      </c>
      <c r="F39" s="681">
        <f>E38+E39</f>
        <v>2740100</v>
      </c>
      <c r="G39" s="423"/>
      <c r="H39" s="1151"/>
      <c r="J39" s="768" t="s">
        <v>1381</v>
      </c>
      <c r="K39" s="951" t="s">
        <v>1671</v>
      </c>
      <c r="L39" s="863"/>
      <c r="M39" s="948">
        <v>750000</v>
      </c>
    </row>
    <row r="40" spans="1:14" ht="15.75" customHeight="1" x14ac:dyDescent="0.25">
      <c r="A40" s="420"/>
      <c r="B40" s="415"/>
      <c r="C40" s="415"/>
      <c r="E40" s="524" t="s">
        <v>1199</v>
      </c>
      <c r="F40" s="415">
        <f>F37-F39</f>
        <v>5259900</v>
      </c>
      <c r="G40" s="423"/>
      <c r="H40" s="1151"/>
      <c r="J40" s="945" t="s">
        <v>1529</v>
      </c>
      <c r="K40" s="788"/>
      <c r="L40" s="788"/>
      <c r="M40" s="949">
        <v>910000</v>
      </c>
      <c r="N40" s="940">
        <v>100</v>
      </c>
    </row>
    <row r="41" spans="1:14" ht="18" customHeight="1" thickBot="1" x14ac:dyDescent="0.3">
      <c r="A41" s="420"/>
      <c r="B41" s="415"/>
      <c r="C41" s="415"/>
      <c r="E41" s="524" t="s">
        <v>1673</v>
      </c>
      <c r="F41" s="477"/>
      <c r="G41" s="1189">
        <f>F40-F41</f>
        <v>5259900</v>
      </c>
      <c r="H41" s="1151">
        <f>G35+G41</f>
        <v>6164865</v>
      </c>
      <c r="J41" s="950" t="s">
        <v>1508</v>
      </c>
      <c r="K41" s="952">
        <v>44396</v>
      </c>
      <c r="L41" s="791"/>
      <c r="M41" s="792">
        <v>1000000</v>
      </c>
      <c r="N41" s="1187" t="s">
        <v>1672</v>
      </c>
    </row>
    <row r="42" spans="1:14" ht="20.100000000000001" customHeight="1" x14ac:dyDescent="0.25">
      <c r="A42" s="420"/>
      <c r="B42" s="421" t="s">
        <v>998</v>
      </c>
      <c r="C42" s="415"/>
      <c r="D42" s="415"/>
      <c r="E42" s="415"/>
      <c r="F42" s="415"/>
      <c r="G42" s="415"/>
      <c r="H42" s="1151"/>
    </row>
    <row r="43" spans="1:14" ht="16.5" customHeight="1" x14ac:dyDescent="0.25">
      <c r="A43" s="420"/>
      <c r="B43" s="636"/>
      <c r="C43" s="431" t="s">
        <v>1247</v>
      </c>
      <c r="D43" s="431"/>
      <c r="E43" s="431"/>
      <c r="F43" s="415"/>
      <c r="G43" s="411">
        <v>62710</v>
      </c>
      <c r="H43" s="1151"/>
    </row>
    <row r="44" spans="1:14" ht="16.5" customHeight="1" x14ac:dyDescent="0.25">
      <c r="A44" s="420"/>
      <c r="B44" s="636" t="s">
        <v>1674</v>
      </c>
      <c r="C44" s="867" t="s">
        <v>1481</v>
      </c>
      <c r="D44" s="431"/>
      <c r="E44" s="868">
        <v>60000</v>
      </c>
      <c r="F44" s="415"/>
      <c r="G44" s="411"/>
      <c r="H44" s="1151"/>
    </row>
    <row r="45" spans="1:14" x14ac:dyDescent="0.25">
      <c r="A45" s="420"/>
      <c r="B45" s="589"/>
      <c r="C45" s="431" t="s">
        <v>1509</v>
      </c>
      <c r="D45" s="415"/>
      <c r="E45" s="858" t="s">
        <v>1510</v>
      </c>
      <c r="F45" s="408"/>
      <c r="G45" s="462">
        <v>200000</v>
      </c>
      <c r="H45" s="1151"/>
    </row>
    <row r="46" spans="1:14" ht="17.25" customHeight="1" x14ac:dyDescent="0.3">
      <c r="A46" s="420"/>
      <c r="B46" s="589"/>
      <c r="C46" s="431"/>
      <c r="D46" s="434"/>
      <c r="E46" s="433"/>
      <c r="F46" s="433"/>
      <c r="G46" s="480">
        <f>SUM(G43:G45)</f>
        <v>262710</v>
      </c>
      <c r="H46" s="1151"/>
    </row>
    <row r="47" spans="1:14" ht="15" customHeight="1" x14ac:dyDescent="0.25">
      <c r="A47" s="420"/>
      <c r="B47" s="589"/>
      <c r="C47" s="415"/>
      <c r="D47" s="415"/>
      <c r="E47" s="415"/>
      <c r="F47" s="415"/>
      <c r="G47" s="437"/>
      <c r="H47" s="1151">
        <f>+G46</f>
        <v>262710</v>
      </c>
    </row>
    <row r="48" spans="1:14" ht="15" customHeight="1" x14ac:dyDescent="0.25">
      <c r="A48" s="420"/>
      <c r="B48" s="428"/>
      <c r="C48" s="435"/>
      <c r="D48" s="436"/>
      <c r="E48" s="415"/>
      <c r="F48" s="444"/>
      <c r="G48" s="437"/>
      <c r="H48" s="1153"/>
    </row>
    <row r="49" spans="1:13" ht="15" customHeight="1" x14ac:dyDescent="0.25">
      <c r="A49" s="420"/>
      <c r="B49" s="421" t="s">
        <v>501</v>
      </c>
      <c r="C49" s="415"/>
      <c r="D49" s="415"/>
      <c r="E49" s="428"/>
      <c r="F49" s="428"/>
      <c r="G49" s="424"/>
      <c r="H49" s="1154" t="e">
        <f>SUM(H8:H47)</f>
        <v>#REF!</v>
      </c>
    </row>
    <row r="50" spans="1:13" ht="15" customHeight="1" x14ac:dyDescent="0.25">
      <c r="A50" s="420" t="s">
        <v>1275</v>
      </c>
      <c r="B50" s="445" t="s">
        <v>999</v>
      </c>
      <c r="C50" s="415"/>
      <c r="D50" s="415"/>
      <c r="E50" s="415"/>
      <c r="F50" s="415"/>
      <c r="G50" s="415"/>
      <c r="H50" s="1151"/>
    </row>
    <row r="51" spans="1:13" ht="15" customHeight="1" x14ac:dyDescent="0.25">
      <c r="A51" s="420"/>
      <c r="B51" s="446"/>
      <c r="C51" s="449" t="s">
        <v>1483</v>
      </c>
      <c r="E51" s="431" t="s">
        <v>1577</v>
      </c>
      <c r="F51" s="415"/>
      <c r="G51" s="411">
        <v>140000</v>
      </c>
      <c r="H51" s="1151"/>
    </row>
    <row r="52" spans="1:13" ht="15" customHeight="1" x14ac:dyDescent="0.25">
      <c r="A52" s="420"/>
      <c r="B52" s="446"/>
      <c r="C52" s="449" t="s">
        <v>1526</v>
      </c>
      <c r="D52" s="415"/>
      <c r="E52" s="415"/>
      <c r="F52" s="450"/>
      <c r="G52" s="411">
        <v>10000</v>
      </c>
      <c r="H52" s="1151"/>
    </row>
    <row r="53" spans="1:13" ht="15" customHeight="1" x14ac:dyDescent="0.25">
      <c r="A53" s="420"/>
      <c r="B53" s="446"/>
      <c r="C53" s="449" t="s">
        <v>1249</v>
      </c>
      <c r="D53" s="415"/>
      <c r="E53" s="415"/>
      <c r="F53" s="415"/>
      <c r="G53" s="411">
        <v>50000</v>
      </c>
      <c r="H53" s="1151"/>
    </row>
    <row r="54" spans="1:13" ht="15" customHeight="1" x14ac:dyDescent="0.25">
      <c r="A54" s="420"/>
      <c r="B54" s="446"/>
      <c r="C54" s="449" t="s">
        <v>852</v>
      </c>
      <c r="D54" s="415"/>
      <c r="E54" s="866" t="s">
        <v>1527</v>
      </c>
      <c r="F54" s="415"/>
      <c r="G54" s="411">
        <v>25000</v>
      </c>
      <c r="H54" s="1151"/>
      <c r="J54" s="711"/>
      <c r="K54" s="682"/>
    </row>
    <row r="55" spans="1:13" ht="15" customHeight="1" x14ac:dyDescent="0.25">
      <c r="A55" s="420"/>
      <c r="B55" s="446"/>
      <c r="C55" s="449" t="s">
        <v>1216</v>
      </c>
      <c r="D55" s="415"/>
      <c r="E55" s="415" t="s">
        <v>1511</v>
      </c>
      <c r="F55" s="415"/>
      <c r="G55" s="411">
        <v>78000</v>
      </c>
      <c r="H55" s="1151"/>
    </row>
    <row r="56" spans="1:13" ht="15" customHeight="1" x14ac:dyDescent="0.25">
      <c r="A56" s="420"/>
      <c r="B56" s="446"/>
      <c r="C56" s="449" t="s">
        <v>1385</v>
      </c>
      <c r="D56" s="415"/>
      <c r="E56" s="415" t="s">
        <v>1392</v>
      </c>
      <c r="F56" s="415"/>
      <c r="G56" s="411">
        <v>110000</v>
      </c>
      <c r="H56" s="1151"/>
    </row>
    <row r="57" spans="1:13" ht="15" customHeight="1" x14ac:dyDescent="0.25">
      <c r="A57" s="420"/>
      <c r="B57" s="415"/>
      <c r="C57" s="449" t="s">
        <v>979</v>
      </c>
      <c r="D57" s="415"/>
      <c r="E57" s="428"/>
      <c r="F57" s="428"/>
      <c r="G57" s="447">
        <f>IF(G43&gt;10000, 10000, G43)</f>
        <v>10000</v>
      </c>
      <c r="H57" s="1151"/>
    </row>
    <row r="58" spans="1:13" x14ac:dyDescent="0.25">
      <c r="A58" s="420"/>
      <c r="B58" s="415"/>
      <c r="C58" s="543" t="s">
        <v>853</v>
      </c>
      <c r="D58" s="415"/>
      <c r="E58" s="428"/>
      <c r="F58" s="428"/>
      <c r="G58" s="411"/>
      <c r="H58" s="1151">
        <f>SUM(G51:G57)</f>
        <v>423000</v>
      </c>
    </row>
    <row r="59" spans="1:13" ht="15.75" customHeight="1" thickBot="1" x14ac:dyDescent="0.3">
      <c r="A59" s="420"/>
      <c r="B59" s="451" t="s">
        <v>777</v>
      </c>
      <c r="C59" s="415"/>
      <c r="D59" s="415"/>
      <c r="E59" s="452" t="e">
        <f>IF((H49-H58)&lt;0,0,(H49-H58))</f>
        <v>#REF!</v>
      </c>
      <c r="F59" s="453" t="s">
        <v>779</v>
      </c>
      <c r="G59" s="440"/>
      <c r="H59" s="1155" t="e">
        <f>ROUND((E59/10),0)*10</f>
        <v>#REF!</v>
      </c>
      <c r="J59" s="1366" t="s">
        <v>1514</v>
      </c>
      <c r="K59" s="1366"/>
    </row>
    <row r="60" spans="1:13" ht="15" customHeight="1" thickTop="1" x14ac:dyDescent="0.25">
      <c r="A60" s="420"/>
      <c r="B60" s="450" t="s">
        <v>778</v>
      </c>
      <c r="C60" s="415"/>
      <c r="D60" s="415"/>
      <c r="E60" s="444" t="s">
        <v>521</v>
      </c>
      <c r="F60" s="454" t="s">
        <v>522</v>
      </c>
      <c r="G60" s="444" t="s">
        <v>524</v>
      </c>
      <c r="H60" s="1156"/>
      <c r="J60" s="884" t="s">
        <v>1028</v>
      </c>
      <c r="K60" s="861" t="s">
        <v>1378</v>
      </c>
      <c r="M60" s="416">
        <v>0</v>
      </c>
    </row>
    <row r="61" spans="1:13" ht="15" customHeight="1" x14ac:dyDescent="0.25">
      <c r="A61" s="420"/>
      <c r="B61" s="877">
        <v>24912</v>
      </c>
      <c r="C61" s="467">
        <f>IF(B61&lt;21277,"Sr Citizen",0)</f>
        <v>0</v>
      </c>
      <c r="D61" s="653" t="s">
        <v>1521</v>
      </c>
      <c r="E61" s="455" t="e">
        <f>H59-E62</f>
        <v>#REF!</v>
      </c>
      <c r="F61" s="456"/>
      <c r="G61" s="415" t="e">
        <f>IF(+C61="Sr Citizen",ROUND(IF(E61&gt;1000000,(((E61-1000000)*0.3)+110000),IF(E61&gt;500000,(((E61-500000)*0.2)+10000),IF(E61&gt;300000,((E61-300000)*0.05),0))),0),ROUND(IF(E61&gt;1000000,(((E61-1000000)*0.3)+112500),IF(E61&gt;500000,(((E61-500000)*0.2)+12500),IF(E61&gt;250000,((E61-250000)*0.05),0))),0))</f>
        <v>#REF!</v>
      </c>
      <c r="H61" s="1156"/>
      <c r="J61" s="884" t="s">
        <v>1740</v>
      </c>
      <c r="K61" s="817">
        <v>0.05</v>
      </c>
      <c r="L61" s="415"/>
      <c r="M61" s="416">
        <v>12500</v>
      </c>
    </row>
    <row r="62" spans="1:13" ht="15" customHeight="1" x14ac:dyDescent="0.25">
      <c r="A62" s="420"/>
      <c r="B62" s="415"/>
      <c r="C62" s="524"/>
      <c r="D62" s="653" t="s">
        <v>1522</v>
      </c>
      <c r="E62" s="749">
        <f>+H41</f>
        <v>6164865</v>
      </c>
      <c r="F62" s="870">
        <v>0.2</v>
      </c>
      <c r="G62" s="527">
        <f>ROUND(E62*F62,0)</f>
        <v>1232973</v>
      </c>
      <c r="H62" s="1157" t="e">
        <f>+G61+G62</f>
        <v>#REF!</v>
      </c>
      <c r="J62" s="884" t="s">
        <v>1741</v>
      </c>
      <c r="K62" s="817">
        <v>0.2</v>
      </c>
      <c r="M62" s="416">
        <v>100000</v>
      </c>
    </row>
    <row r="63" spans="1:13" ht="15" customHeight="1" x14ac:dyDescent="0.25">
      <c r="A63" s="420"/>
      <c r="B63" s="601" t="s">
        <v>1523</v>
      </c>
      <c r="C63" s="524"/>
      <c r="D63" s="678"/>
      <c r="E63" s="749"/>
      <c r="F63" s="415"/>
      <c r="G63" s="526"/>
      <c r="H63" s="1158" t="e">
        <f>IF(H59&gt;10000000,H62*15%,IF(H59&gt;5000000,H62*10%,0))</f>
        <v>#REF!</v>
      </c>
      <c r="J63" s="685" t="e">
        <f>E61-1000000</f>
        <v>#REF!</v>
      </c>
      <c r="K63" s="817">
        <v>0.3</v>
      </c>
      <c r="M63" s="416" t="e">
        <f>ROUND(J63*K63,0)</f>
        <v>#REF!</v>
      </c>
    </row>
    <row r="64" spans="1:13" ht="15" customHeight="1" x14ac:dyDescent="0.25">
      <c r="A64" s="420"/>
      <c r="B64" s="415"/>
      <c r="C64" s="524"/>
      <c r="D64" s="415"/>
      <c r="E64" s="749"/>
      <c r="F64" s="750"/>
      <c r="G64" s="526"/>
      <c r="H64" s="1157" t="e">
        <f>H62+H63</f>
        <v>#REF!</v>
      </c>
      <c r="M64" s="716" t="e">
        <f>SUM(M60:M63)</f>
        <v>#REF!</v>
      </c>
    </row>
    <row r="65" spans="1:12" ht="15" customHeight="1" x14ac:dyDescent="0.25">
      <c r="A65" s="420"/>
      <c r="B65" s="415" t="s">
        <v>1609</v>
      </c>
      <c r="C65" s="415"/>
      <c r="D65" s="456"/>
      <c r="E65" s="458"/>
      <c r="F65" s="415"/>
      <c r="G65" s="428"/>
      <c r="H65" s="1159" t="e">
        <f>ROUND((H64)*0.04,0)</f>
        <v>#REF!</v>
      </c>
    </row>
    <row r="66" spans="1:12" ht="15" customHeight="1" x14ac:dyDescent="0.25">
      <c r="A66" s="420"/>
      <c r="B66" s="450" t="s">
        <v>565</v>
      </c>
      <c r="C66" s="415"/>
      <c r="D66" s="456"/>
      <c r="E66" s="458"/>
      <c r="F66" s="415"/>
      <c r="G66" s="428"/>
      <c r="H66" s="1160" t="e">
        <f>SUM(H64:H65)</f>
        <v>#REF!</v>
      </c>
    </row>
    <row r="67" spans="1:12" ht="15" customHeight="1" x14ac:dyDescent="0.25">
      <c r="A67" s="420"/>
      <c r="B67" s="415" t="s">
        <v>1744</v>
      </c>
      <c r="C67" s="415"/>
      <c r="D67" s="456"/>
      <c r="F67" s="458" t="s">
        <v>1773</v>
      </c>
      <c r="G67" s="428"/>
      <c r="H67" s="1261">
        <v>5000</v>
      </c>
    </row>
    <row r="68" spans="1:12" ht="15" customHeight="1" x14ac:dyDescent="0.25">
      <c r="A68" s="420"/>
      <c r="B68" s="415" t="s">
        <v>1723</v>
      </c>
      <c r="C68" s="415"/>
      <c r="D68" s="456"/>
      <c r="F68" s="458" t="s">
        <v>1772</v>
      </c>
      <c r="G68" s="428"/>
      <c r="H68" s="1262" t="e">
        <f>+H83</f>
        <v>#REF!</v>
      </c>
    </row>
    <row r="69" spans="1:12" ht="15" customHeight="1" x14ac:dyDescent="0.25">
      <c r="A69" s="420"/>
      <c r="B69" s="450"/>
      <c r="C69" s="415"/>
      <c r="D69" s="456"/>
      <c r="E69" s="458"/>
      <c r="F69" s="415"/>
      <c r="G69" s="428"/>
      <c r="H69" s="1160" t="e">
        <f>H66+H68+H67</f>
        <v>#REF!</v>
      </c>
      <c r="K69" s="1194">
        <v>44223</v>
      </c>
    </row>
    <row r="70" spans="1:12" ht="15" customHeight="1" x14ac:dyDescent="0.25">
      <c r="A70" s="420"/>
      <c r="B70" s="421" t="s">
        <v>571</v>
      </c>
      <c r="C70" s="428"/>
      <c r="D70" s="456"/>
      <c r="E70" s="428"/>
      <c r="F70" s="428"/>
      <c r="G70" s="428"/>
      <c r="H70" s="1161"/>
      <c r="K70" s="682">
        <v>268608</v>
      </c>
      <c r="L70" s="762" t="s">
        <v>1715</v>
      </c>
    </row>
    <row r="71" spans="1:12" ht="15" customHeight="1" x14ac:dyDescent="0.3">
      <c r="A71" s="420"/>
      <c r="B71" s="667"/>
      <c r="C71" s="1340" t="s">
        <v>1387</v>
      </c>
      <c r="D71" s="1340"/>
      <c r="E71" s="703">
        <v>44090</v>
      </c>
      <c r="F71" s="1013"/>
      <c r="G71" s="447">
        <v>85000</v>
      </c>
      <c r="H71" s="1151"/>
      <c r="K71" s="682">
        <v>447680</v>
      </c>
      <c r="L71" s="762" t="s">
        <v>1716</v>
      </c>
    </row>
    <row r="72" spans="1:12" ht="15" customHeight="1" x14ac:dyDescent="0.3">
      <c r="A72" s="420"/>
      <c r="B72" s="588"/>
      <c r="C72" s="1013" t="s">
        <v>1386</v>
      </c>
      <c r="D72" s="1013"/>
      <c r="E72" s="1013"/>
      <c r="F72" s="1013"/>
      <c r="G72" s="410">
        <v>90000</v>
      </c>
      <c r="H72" s="1151"/>
      <c r="K72" s="682">
        <v>233030</v>
      </c>
      <c r="L72" s="762" t="s">
        <v>1717</v>
      </c>
    </row>
    <row r="73" spans="1:12" ht="15" customHeight="1" x14ac:dyDescent="0.3">
      <c r="A73" s="420"/>
      <c r="B73" s="588"/>
      <c r="C73" s="1340" t="s">
        <v>1387</v>
      </c>
      <c r="D73" s="1340"/>
      <c r="E73" s="703">
        <v>44286</v>
      </c>
      <c r="F73" s="1013"/>
      <c r="G73" s="410">
        <v>120000</v>
      </c>
      <c r="H73" s="1151"/>
      <c r="K73" s="682">
        <v>5000</v>
      </c>
      <c r="L73" s="762" t="s">
        <v>1743</v>
      </c>
    </row>
    <row r="74" spans="1:12" ht="13.8" customHeight="1" thickBot="1" x14ac:dyDescent="0.35">
      <c r="A74" s="414"/>
      <c r="B74" s="477"/>
      <c r="C74" s="1014"/>
      <c r="D74" s="1014"/>
      <c r="E74" s="707"/>
      <c r="F74" s="1014"/>
      <c r="G74" s="481"/>
      <c r="H74" s="1162">
        <f>SUM(G71:G74)</f>
        <v>295000</v>
      </c>
      <c r="K74" s="1193">
        <f>SUM(K70:K73)</f>
        <v>954318</v>
      </c>
      <c r="L74" s="1193"/>
    </row>
    <row r="75" spans="1:12" ht="18" customHeight="1" thickBot="1" x14ac:dyDescent="0.35">
      <c r="A75" s="494"/>
      <c r="B75" s="708" t="e">
        <f>IF(H75=0,"TAX  PAYABLE / REFUND ",IF(H75&lt;0,"REFUND","TAX  PAYABLE"))</f>
        <v>#REF!</v>
      </c>
      <c r="C75" s="704"/>
      <c r="D75" s="1014"/>
      <c r="E75" s="705"/>
      <c r="F75" s="706" t="s">
        <v>776</v>
      </c>
      <c r="G75" s="497"/>
      <c r="H75" s="1163" t="e">
        <f>H69-H74</f>
        <v>#REF!</v>
      </c>
    </row>
    <row r="76" spans="1:12" ht="18" customHeight="1" thickBot="1" x14ac:dyDescent="0.3">
      <c r="A76" s="1164"/>
      <c r="B76" s="1196" t="s">
        <v>1786</v>
      </c>
      <c r="C76" s="704"/>
      <c r="D76" s="745"/>
      <c r="E76" s="705"/>
      <c r="F76" s="477"/>
      <c r="G76" s="1165" t="s">
        <v>1537</v>
      </c>
      <c r="H76" s="1166" t="s">
        <v>1539</v>
      </c>
    </row>
    <row r="77" spans="1:12" x14ac:dyDescent="0.25">
      <c r="A77" s="1367"/>
      <c r="B77" s="1367"/>
      <c r="E77" s="554"/>
      <c r="F77" s="554"/>
      <c r="G77" s="554"/>
      <c r="H77" s="860"/>
      <c r="I77" s="554"/>
      <c r="J77" s="1023" t="s">
        <v>1793</v>
      </c>
      <c r="L77" s="1265">
        <v>44589</v>
      </c>
    </row>
    <row r="78" spans="1:12" s="1016" customFormat="1" x14ac:dyDescent="0.25">
      <c r="A78" s="1015"/>
      <c r="B78" s="1016" t="s">
        <v>1774</v>
      </c>
      <c r="C78" s="1195" t="s">
        <v>1783</v>
      </c>
      <c r="J78" s="1023" t="s">
        <v>1791</v>
      </c>
      <c r="K78" s="416"/>
      <c r="L78" s="1023" t="s">
        <v>1787</v>
      </c>
    </row>
    <row r="79" spans="1:12" s="1016" customFormat="1" x14ac:dyDescent="0.25">
      <c r="A79" s="1015"/>
      <c r="C79" s="1258" t="s">
        <v>1784</v>
      </c>
      <c r="J79" s="1023" t="s">
        <v>1788</v>
      </c>
      <c r="L79" s="1263">
        <v>37057</v>
      </c>
    </row>
    <row r="80" spans="1:12" s="1016" customFormat="1" x14ac:dyDescent="0.25">
      <c r="A80" s="1015"/>
      <c r="C80" s="1195" t="s">
        <v>1779</v>
      </c>
      <c r="J80" s="1023" t="s">
        <v>1789</v>
      </c>
      <c r="L80" s="1263">
        <v>37422</v>
      </c>
    </row>
    <row r="81" spans="1:12" s="1016" customFormat="1" x14ac:dyDescent="0.25">
      <c r="A81" s="1015"/>
      <c r="C81" s="1195" t="s">
        <v>1785</v>
      </c>
      <c r="J81" s="1023" t="s">
        <v>1790</v>
      </c>
      <c r="L81" s="1263">
        <v>39979</v>
      </c>
    </row>
    <row r="82" spans="1:12" x14ac:dyDescent="0.25">
      <c r="J82" s="1023" t="s">
        <v>1792</v>
      </c>
      <c r="K82" s="1016"/>
      <c r="L82" s="1264">
        <v>2000000</v>
      </c>
    </row>
    <row r="83" spans="1:12" s="1016" customFormat="1" x14ac:dyDescent="0.25">
      <c r="A83" s="1192"/>
      <c r="B83" s="1252" t="s">
        <v>1762</v>
      </c>
      <c r="C83" s="1253"/>
      <c r="D83" s="1253"/>
      <c r="E83" s="1253"/>
      <c r="F83" s="1253"/>
      <c r="G83" s="1237" t="s">
        <v>1763</v>
      </c>
      <c r="H83" s="1251" t="e">
        <f>+H95+H110+H122</f>
        <v>#REF!</v>
      </c>
      <c r="I83" s="1113"/>
    </row>
    <row r="84" spans="1:12" s="1016" customFormat="1" x14ac:dyDescent="0.25">
      <c r="A84" s="1192"/>
      <c r="B84" s="1202" t="s">
        <v>1764</v>
      </c>
      <c r="C84" s="595"/>
      <c r="D84" s="595"/>
      <c r="E84" s="595"/>
      <c r="F84" s="595"/>
      <c r="G84" s="1238"/>
      <c r="H84" s="1239"/>
      <c r="I84" s="1113"/>
    </row>
    <row r="85" spans="1:12" s="1016" customFormat="1" x14ac:dyDescent="0.25">
      <c r="A85" s="1192"/>
      <c r="B85" s="1145" t="s">
        <v>1748</v>
      </c>
      <c r="C85" s="595"/>
      <c r="D85" s="595"/>
      <c r="E85" s="1244" t="e">
        <f>+H66</f>
        <v>#REF!</v>
      </c>
    </row>
    <row r="86" spans="1:12" s="1016" customFormat="1" x14ac:dyDescent="0.25">
      <c r="A86" s="1192"/>
      <c r="B86" s="1145" t="s">
        <v>1775</v>
      </c>
      <c r="C86" s="595"/>
      <c r="D86" s="595"/>
      <c r="E86" s="1244">
        <f>+G72*-1</f>
        <v>-90000</v>
      </c>
      <c r="F86" s="416"/>
      <c r="G86" s="595"/>
      <c r="H86" s="416"/>
      <c r="I86" s="1113"/>
    </row>
    <row r="87" spans="1:12" s="1016" customFormat="1" ht="13.8" thickBot="1" x14ac:dyDescent="0.3">
      <c r="A87" s="1192"/>
      <c r="B87" s="1145" t="s">
        <v>1765</v>
      </c>
      <c r="C87" s="595"/>
      <c r="D87" s="595"/>
      <c r="E87" s="1245" t="e">
        <f>E85+E86</f>
        <v>#REF!</v>
      </c>
      <c r="F87" s="416"/>
      <c r="G87" s="595"/>
      <c r="H87" s="416"/>
      <c r="I87" s="1113"/>
    </row>
    <row r="88" spans="1:12" s="1016" customFormat="1" ht="13.8" thickTop="1" x14ac:dyDescent="0.25">
      <c r="A88" s="1192"/>
      <c r="B88" s="416"/>
      <c r="C88" s="595"/>
      <c r="D88" s="595"/>
      <c r="E88" s="1256" t="e">
        <f>IF(E87&gt;10000,E87,0)</f>
        <v>#REF!</v>
      </c>
      <c r="F88" s="416"/>
      <c r="G88" s="595"/>
      <c r="H88" s="416"/>
      <c r="I88" s="1113"/>
    </row>
    <row r="89" spans="1:12" s="690" customFormat="1" ht="25.5" customHeight="1" x14ac:dyDescent="0.2">
      <c r="A89" s="1198"/>
      <c r="B89" s="1204" t="s">
        <v>596</v>
      </c>
      <c r="C89" s="1204" t="s">
        <v>398</v>
      </c>
      <c r="D89" s="1204" t="s">
        <v>580</v>
      </c>
      <c r="E89" s="1204" t="s">
        <v>581</v>
      </c>
      <c r="F89" s="1199" t="s">
        <v>1745</v>
      </c>
      <c r="G89" s="1205" t="s">
        <v>583</v>
      </c>
      <c r="H89" s="1204" t="s">
        <v>584</v>
      </c>
      <c r="I89" s="1250"/>
      <c r="J89" s="1250"/>
      <c r="K89" s="1203"/>
    </row>
    <row r="90" spans="1:12" s="690" customFormat="1" ht="15" customHeight="1" x14ac:dyDescent="0.2">
      <c r="A90" s="1200">
        <v>1</v>
      </c>
      <c r="B90" s="1206"/>
      <c r="C90" s="1207"/>
      <c r="D90" s="1206">
        <v>43997</v>
      </c>
      <c r="E90" s="1208" t="e">
        <f>E88*0.15</f>
        <v>#REF!</v>
      </c>
      <c r="F90" s="1208" t="e">
        <f>ROUNDDOWN(+E90,-2)</f>
        <v>#REF!</v>
      </c>
      <c r="G90" s="1208" t="e">
        <f>(F90-C90)</f>
        <v>#REF!</v>
      </c>
      <c r="H90" s="1209" t="e">
        <f>IF(G90&gt;0,G90*0.12/12*3,0)</f>
        <v>#REF!</v>
      </c>
      <c r="J90" s="1210"/>
      <c r="K90" s="1211"/>
    </row>
    <row r="91" spans="1:12" s="690" customFormat="1" ht="15" customHeight="1" x14ac:dyDescent="0.2">
      <c r="A91" s="1200">
        <v>2</v>
      </c>
      <c r="C91" s="1207"/>
      <c r="D91" s="1206">
        <v>44089</v>
      </c>
      <c r="E91" s="1208" t="e">
        <f>E88*0.45</f>
        <v>#REF!</v>
      </c>
      <c r="F91" s="1208" t="e">
        <f>ROUNDDOWN(+E91,-2)</f>
        <v>#REF!</v>
      </c>
      <c r="G91" s="1208" t="e">
        <f>(F91-C91-C90)</f>
        <v>#REF!</v>
      </c>
      <c r="H91" s="1209" t="e">
        <f>IF(G91&gt;0,G91*0.12/12*3,0)</f>
        <v>#REF!</v>
      </c>
      <c r="J91" s="1210"/>
      <c r="K91" s="1211"/>
    </row>
    <row r="92" spans="1:12" s="690" customFormat="1" ht="15" customHeight="1" x14ac:dyDescent="0.2">
      <c r="A92" s="1200">
        <v>3</v>
      </c>
      <c r="B92" s="1259">
        <v>44090</v>
      </c>
      <c r="C92" s="1207">
        <v>85000</v>
      </c>
      <c r="D92" s="1206">
        <v>44180</v>
      </c>
      <c r="E92" s="1208" t="e">
        <f>E88*0.75</f>
        <v>#REF!</v>
      </c>
      <c r="F92" s="1208" t="e">
        <f>ROUNDDOWN(+E92,-2)</f>
        <v>#REF!</v>
      </c>
      <c r="G92" s="1208" t="e">
        <f>(F92-(C90+C91+C92))</f>
        <v>#REF!</v>
      </c>
      <c r="H92" s="1209" t="e">
        <f>IF(G92&gt;0,G92*0.12/12*3,0)</f>
        <v>#REF!</v>
      </c>
      <c r="J92" s="1210"/>
      <c r="K92" s="1211">
        <f>+K91</f>
        <v>0</v>
      </c>
    </row>
    <row r="93" spans="1:12" s="690" customFormat="1" ht="15" customHeight="1" x14ac:dyDescent="0.2">
      <c r="A93" s="1200">
        <v>4</v>
      </c>
      <c r="B93" s="1206"/>
      <c r="C93" s="1207"/>
      <c r="D93" s="1206">
        <v>44270</v>
      </c>
      <c r="E93" s="1208" t="e">
        <f>E88*1</f>
        <v>#REF!</v>
      </c>
      <c r="F93" s="1208" t="e">
        <f>ROUNDDOWN(+E93,-2)</f>
        <v>#REF!</v>
      </c>
      <c r="G93" s="1208" t="e">
        <f>(F93-(C90+C91+C92+C93))</f>
        <v>#REF!</v>
      </c>
      <c r="H93" s="1209" t="e">
        <f>IF(G93&gt;0,G93*0.12/12,0)</f>
        <v>#REF!</v>
      </c>
      <c r="I93" s="1212"/>
      <c r="J93" s="1210"/>
      <c r="K93" s="1211">
        <f>+K91</f>
        <v>0</v>
      </c>
    </row>
    <row r="94" spans="1:12" s="690" customFormat="1" ht="15" customHeight="1" x14ac:dyDescent="0.2">
      <c r="A94" s="1200">
        <v>5</v>
      </c>
      <c r="B94" s="1259">
        <v>44286</v>
      </c>
      <c r="C94" s="1207">
        <v>120000</v>
      </c>
      <c r="D94" s="1206">
        <v>44286</v>
      </c>
      <c r="F94" s="1212"/>
      <c r="G94" s="1212"/>
      <c r="H94" s="1213"/>
      <c r="J94" s="760"/>
    </row>
    <row r="95" spans="1:12" s="690" customFormat="1" ht="15" customHeight="1" thickBot="1" x14ac:dyDescent="0.25">
      <c r="A95" s="1198"/>
      <c r="B95" s="1113"/>
      <c r="C95" s="1214">
        <f>SUM(C90:C94)</f>
        <v>205000</v>
      </c>
      <c r="D95" s="1113"/>
      <c r="E95" s="1113"/>
      <c r="F95" s="1113"/>
      <c r="G95" s="1113"/>
      <c r="H95" s="1215" t="e">
        <f>SUM(H90:H93)</f>
        <v>#REF!</v>
      </c>
      <c r="J95" s="760"/>
    </row>
    <row r="96" spans="1:12" s="690" customFormat="1" ht="15" customHeight="1" thickTop="1" thickBot="1" x14ac:dyDescent="0.25">
      <c r="A96" s="1201"/>
      <c r="B96" s="1216"/>
      <c r="C96" s="1217"/>
      <c r="D96" s="1216"/>
      <c r="E96" s="1216"/>
      <c r="F96" s="1216"/>
      <c r="G96" s="1216"/>
      <c r="H96" s="1216"/>
      <c r="J96" s="760"/>
    </row>
    <row r="97" spans="1:11" s="690" customFormat="1" ht="15" customHeight="1" x14ac:dyDescent="0.2">
      <c r="A97" s="1198"/>
      <c r="B97" s="1218" t="s">
        <v>1747</v>
      </c>
      <c r="C97" s="1219"/>
      <c r="D97" s="1113"/>
      <c r="E97" s="1113"/>
      <c r="F97" s="1113"/>
      <c r="G97" s="1113"/>
      <c r="H97" s="1220" t="s">
        <v>584</v>
      </c>
      <c r="J97" s="760"/>
    </row>
    <row r="98" spans="1:11" s="690" customFormat="1" ht="15" customHeight="1" x14ac:dyDescent="0.2">
      <c r="A98" s="1198"/>
      <c r="B98" s="1113" t="s">
        <v>1748</v>
      </c>
      <c r="C98" s="1113"/>
      <c r="D98" s="1113"/>
      <c r="E98" s="1208" t="e">
        <f>+H66</f>
        <v>#REF!</v>
      </c>
      <c r="F98" s="1113"/>
      <c r="G98" s="1221">
        <v>44287</v>
      </c>
      <c r="H98" s="1209" t="e">
        <f>$F$104*0.01</f>
        <v>#REF!</v>
      </c>
      <c r="J98" s="760"/>
    </row>
    <row r="99" spans="1:11" s="690" customFormat="1" ht="15" customHeight="1" x14ac:dyDescent="0.2">
      <c r="A99" s="1198"/>
      <c r="B99" s="1145" t="s">
        <v>1775</v>
      </c>
      <c r="C99" s="1113"/>
      <c r="D99" s="1113"/>
      <c r="E99" s="1208">
        <f>+G72*-1</f>
        <v>-90000</v>
      </c>
      <c r="F99" s="1113"/>
      <c r="G99" s="1221">
        <v>44317</v>
      </c>
      <c r="H99" s="1209" t="e">
        <f t="shared" ref="H99:H107" si="0">$F$104*0.01</f>
        <v>#REF!</v>
      </c>
      <c r="J99" s="760"/>
    </row>
    <row r="100" spans="1:11" s="690" customFormat="1" ht="15" customHeight="1" thickBot="1" x14ac:dyDescent="0.25">
      <c r="A100" s="1198"/>
      <c r="B100" s="1222"/>
      <c r="C100" s="1113"/>
      <c r="D100" s="1113"/>
      <c r="E100" s="1223" t="e">
        <f>E98+E99</f>
        <v>#REF!</v>
      </c>
      <c r="G100" s="1221">
        <v>44348</v>
      </c>
      <c r="H100" s="1209" t="e">
        <f t="shared" si="0"/>
        <v>#REF!</v>
      </c>
      <c r="J100" s="760"/>
    </row>
    <row r="101" spans="1:11" s="690" customFormat="1" ht="15" customHeight="1" thickTop="1" x14ac:dyDescent="0.2">
      <c r="A101" s="1198"/>
      <c r="F101" s="1113"/>
      <c r="G101" s="1221">
        <v>44378</v>
      </c>
      <c r="H101" s="1209" t="e">
        <f t="shared" si="0"/>
        <v>#REF!</v>
      </c>
      <c r="J101" s="760"/>
    </row>
    <row r="102" spans="1:11" s="690" customFormat="1" ht="15" customHeight="1" x14ac:dyDescent="0.2">
      <c r="A102" s="1198"/>
      <c r="B102" s="1113" t="s">
        <v>1750</v>
      </c>
      <c r="C102" s="1219"/>
      <c r="D102" s="1224">
        <v>0.9</v>
      </c>
      <c r="E102" s="1246" t="e">
        <f>ROUND(E100*90%,0)</f>
        <v>#REF!</v>
      </c>
      <c r="F102" s="1113"/>
      <c r="G102" s="1221">
        <v>44409</v>
      </c>
      <c r="H102" s="1209" t="e">
        <f t="shared" si="0"/>
        <v>#REF!</v>
      </c>
      <c r="I102" s="1363" t="s">
        <v>1746</v>
      </c>
      <c r="J102" s="1363"/>
      <c r="K102" s="1225" t="s">
        <v>1760</v>
      </c>
    </row>
    <row r="103" spans="1:11" s="690" customFormat="1" ht="15" customHeight="1" x14ac:dyDescent="0.2">
      <c r="A103" s="1198"/>
      <c r="B103" s="1113" t="s">
        <v>1751</v>
      </c>
      <c r="C103" s="1219"/>
      <c r="D103" s="1113"/>
      <c r="E103" s="1247">
        <f>ROUND(+C95,0)</f>
        <v>205000</v>
      </c>
      <c r="F103" s="1113"/>
      <c r="G103" s="1221">
        <v>44440</v>
      </c>
      <c r="H103" s="1209" t="e">
        <f t="shared" si="0"/>
        <v>#REF!</v>
      </c>
      <c r="J103" s="1249">
        <v>44562</v>
      </c>
      <c r="K103" s="1226" t="e">
        <f>+H110</f>
        <v>#REF!</v>
      </c>
    </row>
    <row r="104" spans="1:11" s="690" customFormat="1" ht="15" customHeight="1" x14ac:dyDescent="0.2">
      <c r="A104" s="1198"/>
      <c r="B104" s="690" t="s">
        <v>1752</v>
      </c>
      <c r="C104" s="1219"/>
      <c r="D104" s="1113"/>
      <c r="E104" s="1208" t="e">
        <f>E100-E103</f>
        <v>#REF!</v>
      </c>
      <c r="F104" s="1208" t="e">
        <f>ROUNDDOWN(E104,-2)</f>
        <v>#REF!</v>
      </c>
      <c r="G104" s="1221">
        <v>44470</v>
      </c>
      <c r="H104" s="1209" t="e">
        <f t="shared" si="0"/>
        <v>#REF!</v>
      </c>
      <c r="J104" s="1249">
        <v>44593</v>
      </c>
      <c r="K104" s="1226" t="e">
        <f>+K103+44768</f>
        <v>#REF!</v>
      </c>
    </row>
    <row r="105" spans="1:11" s="690" customFormat="1" ht="15" customHeight="1" x14ac:dyDescent="0.2">
      <c r="A105" s="1198"/>
      <c r="B105" s="1241"/>
      <c r="C105" s="1113" t="s">
        <v>1753</v>
      </c>
      <c r="D105" s="1113"/>
      <c r="E105" s="1227"/>
      <c r="F105" s="1113"/>
      <c r="G105" s="1221">
        <v>44501</v>
      </c>
      <c r="H105" s="1209" t="e">
        <f t="shared" si="0"/>
        <v>#REF!</v>
      </c>
      <c r="J105" s="1249">
        <v>44621</v>
      </c>
      <c r="K105" s="1226" t="e">
        <f>K104+44768</f>
        <v>#REF!</v>
      </c>
    </row>
    <row r="106" spans="1:11" s="690" customFormat="1" ht="15" customHeight="1" x14ac:dyDescent="0.2">
      <c r="A106" s="1198"/>
      <c r="B106" s="1260"/>
      <c r="C106" s="1240" t="s">
        <v>1754</v>
      </c>
      <c r="E106" s="1227"/>
      <c r="F106" s="1113"/>
      <c r="G106" s="1221">
        <v>44531</v>
      </c>
      <c r="H106" s="1209" t="e">
        <f t="shared" si="0"/>
        <v>#REF!</v>
      </c>
      <c r="J106" s="1249">
        <v>44652</v>
      </c>
      <c r="K106" s="1226" t="e">
        <f>K105+44768</f>
        <v>#REF!</v>
      </c>
    </row>
    <row r="107" spans="1:11" s="690" customFormat="1" ht="15" customHeight="1" x14ac:dyDescent="0.2">
      <c r="A107" s="1198"/>
      <c r="C107" s="1113" t="s">
        <v>1755</v>
      </c>
      <c r="E107" s="1227">
        <f>E105-E106</f>
        <v>0</v>
      </c>
      <c r="F107" s="1113"/>
      <c r="G107" s="1221">
        <v>44562</v>
      </c>
      <c r="H107" s="1209" t="e">
        <f t="shared" si="0"/>
        <v>#REF!</v>
      </c>
      <c r="J107" s="760"/>
    </row>
    <row r="108" spans="1:11" s="690" customFormat="1" ht="15" customHeight="1" x14ac:dyDescent="0.2">
      <c r="A108" s="1198"/>
      <c r="B108" s="690" t="s">
        <v>1756</v>
      </c>
      <c r="C108" s="1113"/>
      <c r="E108" s="1229"/>
      <c r="F108" s="1208">
        <f>ROUNDDOWN(E108,-2)</f>
        <v>0</v>
      </c>
      <c r="G108" s="1221">
        <v>44593</v>
      </c>
      <c r="H108" s="1209"/>
      <c r="J108" s="760"/>
    </row>
    <row r="109" spans="1:11" s="690" customFormat="1" ht="15" customHeight="1" x14ac:dyDescent="0.2">
      <c r="A109" s="1198"/>
      <c r="C109" s="1113"/>
      <c r="E109" s="1227"/>
      <c r="F109" s="1113"/>
      <c r="G109" s="1221">
        <v>44621</v>
      </c>
      <c r="H109" s="1209"/>
      <c r="J109" s="760"/>
    </row>
    <row r="110" spans="1:11" s="690" customFormat="1" ht="15" customHeight="1" thickBot="1" x14ac:dyDescent="0.25">
      <c r="A110" s="1198"/>
      <c r="C110" s="1113"/>
      <c r="E110" s="1227"/>
      <c r="F110" s="1113"/>
      <c r="G110" s="1221"/>
      <c r="H110" s="1242" t="e">
        <f>SUM(H98:H109)</f>
        <v>#REF!</v>
      </c>
      <c r="J110" s="760"/>
    </row>
    <row r="111" spans="1:11" s="690" customFormat="1" ht="15" customHeight="1" thickTop="1" thickBot="1" x14ac:dyDescent="0.25">
      <c r="A111" s="1201"/>
      <c r="B111" s="1230"/>
      <c r="C111" s="1216"/>
      <c r="D111" s="1230"/>
      <c r="E111" s="1231"/>
      <c r="F111" s="1232"/>
      <c r="G111" s="1216"/>
      <c r="H111" s="1233"/>
      <c r="I111" s="1234"/>
      <c r="J111" s="1228"/>
    </row>
    <row r="112" spans="1:11" s="690" customFormat="1" ht="15" customHeight="1" x14ac:dyDescent="0.2">
      <c r="A112" s="1198"/>
      <c r="B112" s="1218" t="s">
        <v>1757</v>
      </c>
      <c r="C112" s="1234"/>
      <c r="D112" s="1234"/>
      <c r="E112" s="1234"/>
      <c r="F112" s="1234"/>
      <c r="G112" s="1234"/>
      <c r="H112" s="1234"/>
      <c r="I112" s="1234"/>
      <c r="J112" s="1228"/>
    </row>
    <row r="113" spans="1:12" s="690" customFormat="1" ht="15" customHeight="1" x14ac:dyDescent="0.2">
      <c r="A113" s="1198"/>
      <c r="B113" s="1113" t="s">
        <v>1748</v>
      </c>
      <c r="C113" s="1113"/>
      <c r="D113" s="1113"/>
      <c r="E113" s="1208" t="e">
        <f>+E85</f>
        <v>#REF!</v>
      </c>
      <c r="F113" s="1234"/>
      <c r="G113" s="1113"/>
      <c r="H113" s="1220" t="s">
        <v>584</v>
      </c>
      <c r="I113" s="1234"/>
      <c r="J113" s="1228"/>
    </row>
    <row r="114" spans="1:12" s="690" customFormat="1" ht="15" customHeight="1" x14ac:dyDescent="0.2">
      <c r="A114" s="1198"/>
      <c r="B114" s="1222" t="s">
        <v>1749</v>
      </c>
      <c r="C114" s="1113"/>
      <c r="D114" s="1113"/>
      <c r="E114" s="1208">
        <f>+G72*-1</f>
        <v>-90000</v>
      </c>
      <c r="F114" s="1234"/>
      <c r="G114" s="1221">
        <v>44409</v>
      </c>
      <c r="H114" s="1209">
        <v>44768</v>
      </c>
      <c r="I114" s="1364" t="s">
        <v>1746</v>
      </c>
      <c r="J114" s="1364"/>
      <c r="K114" s="1235" t="s">
        <v>1761</v>
      </c>
    </row>
    <row r="115" spans="1:12" s="690" customFormat="1" ht="15" customHeight="1" x14ac:dyDescent="0.2">
      <c r="A115" s="1198"/>
      <c r="B115" s="1257" t="s">
        <v>1758</v>
      </c>
      <c r="C115" s="1113"/>
      <c r="D115" s="1113"/>
      <c r="E115" s="1208">
        <v>-205000</v>
      </c>
      <c r="F115" s="1234"/>
      <c r="G115" s="1221">
        <v>44440</v>
      </c>
      <c r="H115" s="1209">
        <v>44768</v>
      </c>
      <c r="I115" s="1234"/>
      <c r="J115" s="1243">
        <v>44562</v>
      </c>
      <c r="K115" s="1236">
        <f>+H122</f>
        <v>268608</v>
      </c>
    </row>
    <row r="116" spans="1:12" s="690" customFormat="1" ht="15" customHeight="1" x14ac:dyDescent="0.2">
      <c r="A116" s="1198"/>
      <c r="B116" s="1222" t="s">
        <v>1759</v>
      </c>
      <c r="C116" s="1113"/>
      <c r="D116" s="1113"/>
      <c r="E116" s="1213"/>
      <c r="F116" s="1234"/>
      <c r="G116" s="1221">
        <v>44470</v>
      </c>
      <c r="H116" s="1209">
        <v>44768</v>
      </c>
      <c r="I116" s="1234"/>
      <c r="J116" s="1243">
        <v>44593</v>
      </c>
      <c r="K116" s="1236">
        <f>+K115+44768</f>
        <v>313376</v>
      </c>
      <c r="L116" s="690">
        <v>44768</v>
      </c>
    </row>
    <row r="117" spans="1:12" s="690" customFormat="1" ht="15" customHeight="1" x14ac:dyDescent="0.2">
      <c r="A117" s="1198"/>
      <c r="B117" s="1222" t="s">
        <v>1776</v>
      </c>
      <c r="C117" s="1113"/>
      <c r="D117" s="1113"/>
      <c r="E117" s="1213"/>
      <c r="F117" s="1234"/>
      <c r="G117" s="1221">
        <v>44501</v>
      </c>
      <c r="H117" s="1209">
        <v>44768</v>
      </c>
      <c r="I117" s="1234"/>
      <c r="J117" s="1243">
        <v>44621</v>
      </c>
      <c r="K117" s="1236">
        <f>K116+44768*2</f>
        <v>402912</v>
      </c>
      <c r="L117" s="690">
        <f>44768*2</f>
        <v>89536</v>
      </c>
    </row>
    <row r="118" spans="1:12" s="690" customFormat="1" ht="15" customHeight="1" x14ac:dyDescent="0.2">
      <c r="A118" s="1198"/>
      <c r="B118" s="1257" t="s">
        <v>1777</v>
      </c>
      <c r="C118" s="1113"/>
      <c r="D118" s="1113"/>
      <c r="E118" s="1213">
        <f>+G78*-1</f>
        <v>0</v>
      </c>
      <c r="F118" s="1234"/>
      <c r="G118" s="1221">
        <v>44531</v>
      </c>
      <c r="H118" s="1209">
        <v>44768</v>
      </c>
      <c r="I118" s="1234"/>
      <c r="J118" s="1243"/>
      <c r="K118" s="1236"/>
    </row>
    <row r="119" spans="1:12" s="690" customFormat="1" ht="15" customHeight="1" x14ac:dyDescent="0.2">
      <c r="A119" s="1198"/>
      <c r="B119" s="1257"/>
      <c r="C119" s="1113"/>
      <c r="D119" s="1113"/>
      <c r="E119" s="1213"/>
      <c r="F119" s="1234"/>
      <c r="G119" s="1221">
        <v>44562</v>
      </c>
      <c r="H119" s="1209">
        <v>44768</v>
      </c>
      <c r="I119" s="1234"/>
      <c r="J119" s="1243"/>
      <c r="K119" s="1236"/>
    </row>
    <row r="120" spans="1:12" s="690" customFormat="1" ht="15" customHeight="1" x14ac:dyDescent="0.2">
      <c r="A120" s="1198"/>
      <c r="B120" s="1257"/>
      <c r="C120" s="1113"/>
      <c r="D120" s="1113"/>
      <c r="E120" s="1213"/>
      <c r="F120" s="1234"/>
      <c r="G120" s="1221">
        <v>44593</v>
      </c>
      <c r="H120" s="1209"/>
      <c r="I120" s="1234"/>
      <c r="J120" s="1243"/>
      <c r="K120" s="1236"/>
    </row>
    <row r="121" spans="1:12" s="690" customFormat="1" ht="15" customHeight="1" thickBot="1" x14ac:dyDescent="0.25">
      <c r="A121" s="1198"/>
      <c r="E121" s="1223" t="e">
        <f>SUM(E113:E118)</f>
        <v>#REF!</v>
      </c>
      <c r="F121" s="1208">
        <v>4476800</v>
      </c>
      <c r="G121" s="1221">
        <v>44621</v>
      </c>
      <c r="H121" s="1209"/>
      <c r="I121" s="1234"/>
      <c r="J121" s="1219"/>
    </row>
    <row r="122" spans="1:12" s="1016" customFormat="1" ht="14.4" thickTop="1" thickBot="1" x14ac:dyDescent="0.3">
      <c r="A122" s="1015"/>
      <c r="H122" s="1242">
        <f>SUM(H114:H121)</f>
        <v>268608</v>
      </c>
    </row>
    <row r="123" spans="1:12" s="1016" customFormat="1" ht="13.8" thickTop="1" x14ac:dyDescent="0.25">
      <c r="A123" s="1015"/>
      <c r="F123" s="1248" t="s">
        <v>1767</v>
      </c>
    </row>
    <row r="124" spans="1:12" s="1016" customFormat="1" ht="13.8" thickBot="1" x14ac:dyDescent="0.3">
      <c r="A124" s="1254"/>
      <c r="B124" s="1255"/>
      <c r="C124" s="1255"/>
      <c r="D124" s="1255"/>
      <c r="E124" s="1255"/>
      <c r="F124" s="1255"/>
      <c r="G124" s="1255"/>
      <c r="H124" s="1255"/>
    </row>
    <row r="125" spans="1:12" ht="13.8" thickTop="1" x14ac:dyDescent="0.25"/>
  </sheetData>
  <mergeCells count="12">
    <mergeCell ref="I102:J102"/>
    <mergeCell ref="I114:J114"/>
    <mergeCell ref="A1:H1"/>
    <mergeCell ref="A2:H2"/>
    <mergeCell ref="B32:B33"/>
    <mergeCell ref="J59:K59"/>
    <mergeCell ref="A77:B77"/>
    <mergeCell ref="C71:D71"/>
    <mergeCell ref="C73:D73"/>
    <mergeCell ref="A3:H3"/>
    <mergeCell ref="A4:H4"/>
    <mergeCell ref="A5:H5"/>
  </mergeCells>
  <dataValidations disablePrompts="1" count="1">
    <dataValidation type="list" errorStyle="information" allowBlank="1" showInputMessage="1" showErrorMessage="1" sqref="D7" xr:uid="{00000000-0002-0000-1200-000000000000}">
      <formula1>"SALARY RECEIVED, PENSION RECEIVED"</formula1>
    </dataValidation>
  </dataValidations>
  <hyperlinks>
    <hyperlink ref="A3:H3" r:id="rId1" display="To join the course, click here." xr:uid="{4CC66C95-B820-4453-8F31-AE9BEA7982B0}"/>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120"/>
  <sheetViews>
    <sheetView showZeros="0" zoomScale="125" zoomScaleNormal="125" zoomScaleSheetLayoutView="110" workbookViewId="0">
      <selection activeCell="A6" sqref="A6"/>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8.77734375" style="476" customWidth="1"/>
    <col min="10" max="10" width="26.109375" style="416" customWidth="1"/>
    <col min="11" max="11" width="9.5546875" style="416" customWidth="1"/>
    <col min="12" max="12" width="8.88671875" style="416" customWidth="1"/>
    <col min="13" max="13" width="9.88671875" style="416" customWidth="1"/>
    <col min="14" max="14" width="11" style="416" customWidth="1"/>
    <col min="15" max="15" width="12" style="416" customWidth="1"/>
    <col min="16" max="16384" width="9.109375" style="416"/>
  </cols>
  <sheetData>
    <row r="1" spans="1:14" ht="15.6" x14ac:dyDescent="0.3">
      <c r="A1" s="1368" t="s">
        <v>1730</v>
      </c>
      <c r="B1" s="1369"/>
      <c r="C1" s="1369"/>
      <c r="D1" s="1369"/>
      <c r="E1" s="1369"/>
      <c r="F1" s="1369"/>
      <c r="G1" s="1369"/>
      <c r="H1" s="1370"/>
    </row>
    <row r="2" spans="1:14" ht="16.2" thickBot="1" x14ac:dyDescent="0.35">
      <c r="A2" s="1371" t="s">
        <v>1731</v>
      </c>
      <c r="B2" s="1345"/>
      <c r="C2" s="1345"/>
      <c r="D2" s="1345"/>
      <c r="E2" s="1345"/>
      <c r="F2" s="1345"/>
      <c r="G2" s="1345"/>
      <c r="H2" s="1372"/>
      <c r="J2" s="1290" t="s">
        <v>1811</v>
      </c>
    </row>
    <row r="3" spans="1:14" ht="13.8" thickBot="1" x14ac:dyDescent="0.3">
      <c r="A3" s="1347" t="s">
        <v>1718</v>
      </c>
      <c r="B3" s="1348"/>
      <c r="C3" s="1348"/>
      <c r="D3" s="1348"/>
      <c r="E3" s="1348"/>
      <c r="F3" s="1348"/>
      <c r="G3" s="1348"/>
      <c r="H3" s="1349"/>
    </row>
    <row r="4" spans="1:14" s="413" customFormat="1" ht="18.75" customHeight="1" thickBot="1" x14ac:dyDescent="0.3">
      <c r="A4" s="1350" t="s">
        <v>1810</v>
      </c>
      <c r="B4" s="1351"/>
      <c r="C4" s="1351"/>
      <c r="D4" s="1351"/>
      <c r="E4" s="1351"/>
      <c r="F4" s="1351"/>
      <c r="G4" s="1351"/>
      <c r="H4" s="1352"/>
      <c r="I4" s="979"/>
      <c r="J4" s="711" t="s">
        <v>1696</v>
      </c>
    </row>
    <row r="5" spans="1:14" ht="18" customHeight="1" thickBot="1" x14ac:dyDescent="0.3">
      <c r="A5" s="1353" t="s">
        <v>1720</v>
      </c>
      <c r="B5" s="1354"/>
      <c r="C5" s="1354"/>
      <c r="D5" s="1354"/>
      <c r="E5" s="1354"/>
      <c r="F5" s="1354"/>
      <c r="G5" s="1354"/>
      <c r="H5" s="1355"/>
      <c r="I5" s="969"/>
      <c r="J5" s="990"/>
      <c r="K5" s="980"/>
      <c r="L5" s="981" t="s">
        <v>1697</v>
      </c>
      <c r="M5" s="981"/>
      <c r="N5" s="982" t="s">
        <v>1698</v>
      </c>
    </row>
    <row r="6" spans="1:14" ht="20.100000000000001" customHeight="1" x14ac:dyDescent="0.25">
      <c r="A6" s="417"/>
      <c r="B6" s="850" t="s">
        <v>1463</v>
      </c>
      <c r="C6" s="419"/>
      <c r="D6" s="419"/>
      <c r="E6" s="419"/>
      <c r="F6" s="419"/>
      <c r="G6" s="419"/>
      <c r="H6" s="1150" t="s">
        <v>1013</v>
      </c>
      <c r="I6" s="958"/>
      <c r="J6" s="983" t="s">
        <v>1476</v>
      </c>
      <c r="K6" s="956"/>
      <c r="L6" s="956"/>
      <c r="M6" s="956">
        <v>3215175</v>
      </c>
      <c r="N6" s="972"/>
    </row>
    <row r="7" spans="1:14" ht="15" customHeight="1" x14ac:dyDescent="0.25">
      <c r="A7" s="420"/>
      <c r="B7" s="435"/>
      <c r="C7" s="422" t="s">
        <v>567</v>
      </c>
      <c r="D7" s="422"/>
      <c r="E7" s="431"/>
      <c r="F7" s="423"/>
      <c r="G7" s="411"/>
      <c r="H7" s="1151"/>
      <c r="I7" s="958"/>
      <c r="J7" s="984" t="s">
        <v>1675</v>
      </c>
      <c r="K7" s="956"/>
      <c r="L7" s="941" t="s">
        <v>783</v>
      </c>
      <c r="M7" s="956">
        <v>425900</v>
      </c>
      <c r="N7" s="973" t="s">
        <v>1676</v>
      </c>
    </row>
    <row r="8" spans="1:14" ht="15" customHeight="1" x14ac:dyDescent="0.25">
      <c r="A8" s="420"/>
      <c r="B8" s="408"/>
      <c r="C8" s="408" t="s">
        <v>848</v>
      </c>
      <c r="D8" s="415"/>
      <c r="E8" s="415"/>
      <c r="F8" s="415"/>
      <c r="G8" s="523"/>
      <c r="H8" s="1151">
        <f>SUM(G7:G8)</f>
        <v>0</v>
      </c>
      <c r="I8" s="806"/>
      <c r="J8" s="985" t="s">
        <v>1477</v>
      </c>
      <c r="K8" s="956"/>
      <c r="L8" s="956"/>
      <c r="M8" s="956"/>
      <c r="N8" s="972"/>
    </row>
    <row r="9" spans="1:14" ht="15" customHeight="1" x14ac:dyDescent="0.25">
      <c r="A9" s="420"/>
      <c r="B9" s="851" t="s">
        <v>1464</v>
      </c>
      <c r="C9" s="415"/>
      <c r="D9" s="415"/>
      <c r="E9" s="893" t="s">
        <v>1475</v>
      </c>
      <c r="F9" s="423"/>
      <c r="G9" s="415"/>
      <c r="H9" s="1151"/>
      <c r="I9" s="806"/>
      <c r="J9" s="986" t="s">
        <v>1807</v>
      </c>
      <c r="K9" s="956">
        <v>40000</v>
      </c>
      <c r="L9" s="941" t="s">
        <v>220</v>
      </c>
      <c r="M9" s="959"/>
      <c r="N9" s="974">
        <v>14</v>
      </c>
    </row>
    <row r="10" spans="1:14" ht="15" customHeight="1" x14ac:dyDescent="0.25">
      <c r="A10" s="420"/>
      <c r="B10" s="851"/>
      <c r="C10" s="583" t="s">
        <v>1164</v>
      </c>
      <c r="D10" s="422"/>
      <c r="E10" s="672"/>
      <c r="F10" s="679"/>
      <c r="G10" s="411"/>
      <c r="H10" s="1151"/>
      <c r="I10" s="806"/>
      <c r="J10" s="986" t="s">
        <v>1686</v>
      </c>
      <c r="K10" s="956">
        <v>8000</v>
      </c>
      <c r="L10" s="941" t="s">
        <v>614</v>
      </c>
      <c r="M10" s="959"/>
      <c r="N10" s="974">
        <v>15</v>
      </c>
    </row>
    <row r="11" spans="1:14" ht="15" customHeight="1" x14ac:dyDescent="0.3">
      <c r="A11" s="420"/>
      <c r="B11" s="583"/>
      <c r="C11" s="7" t="s">
        <v>1462</v>
      </c>
      <c r="D11" s="415"/>
      <c r="E11" s="434" t="s">
        <v>1474</v>
      </c>
      <c r="F11" s="875">
        <v>70000</v>
      </c>
      <c r="G11" s="523"/>
      <c r="H11" s="1151"/>
      <c r="I11" s="806"/>
      <c r="J11" s="986" t="s">
        <v>1687</v>
      </c>
      <c r="K11" s="956">
        <v>4000</v>
      </c>
      <c r="L11" s="941" t="s">
        <v>228</v>
      </c>
      <c r="M11" s="959"/>
      <c r="N11" s="974">
        <v>15</v>
      </c>
    </row>
    <row r="12" spans="1:14" ht="15" customHeight="1" x14ac:dyDescent="0.25">
      <c r="A12" s="420"/>
      <c r="B12" s="435" t="s">
        <v>1465</v>
      </c>
      <c r="C12" s="408"/>
      <c r="D12" s="415"/>
      <c r="E12" s="429"/>
      <c r="F12" s="415"/>
      <c r="G12" s="415"/>
      <c r="H12" s="1151"/>
      <c r="I12" s="806"/>
      <c r="J12" s="986" t="s">
        <v>1688</v>
      </c>
      <c r="K12" s="956">
        <v>5000</v>
      </c>
      <c r="L12" s="941" t="s">
        <v>1690</v>
      </c>
      <c r="M12" s="959"/>
      <c r="N12" s="974">
        <v>16</v>
      </c>
    </row>
    <row r="13" spans="1:14" ht="15" customHeight="1" x14ac:dyDescent="0.3">
      <c r="A13" s="420"/>
      <c r="B13" s="408"/>
      <c r="C13" s="1030" t="s">
        <v>1768</v>
      </c>
      <c r="D13" s="415"/>
      <c r="F13" s="922" t="s">
        <v>1769</v>
      </c>
      <c r="G13" s="699"/>
      <c r="H13" s="1151"/>
      <c r="I13" s="806"/>
      <c r="J13" s="986" t="s">
        <v>1689</v>
      </c>
      <c r="K13" s="956">
        <v>15000</v>
      </c>
      <c r="L13" s="941" t="s">
        <v>757</v>
      </c>
      <c r="M13" s="959"/>
      <c r="N13" s="974">
        <v>17</v>
      </c>
    </row>
    <row r="14" spans="1:14" ht="15" customHeight="1" x14ac:dyDescent="0.3">
      <c r="A14" s="420"/>
      <c r="B14" s="408"/>
      <c r="C14" s="1195" t="s">
        <v>1770</v>
      </c>
      <c r="D14" s="415"/>
      <c r="E14" s="922"/>
      <c r="F14" s="415"/>
      <c r="G14" s="699"/>
      <c r="H14" s="1151"/>
      <c r="I14" s="806"/>
      <c r="J14" s="987" t="s">
        <v>1379</v>
      </c>
      <c r="K14" s="957" t="s">
        <v>1408</v>
      </c>
      <c r="L14" s="956"/>
      <c r="M14" s="956">
        <f>K9+K10+K11+K12+K13</f>
        <v>72000</v>
      </c>
      <c r="N14" s="972"/>
    </row>
    <row r="15" spans="1:14" ht="15" customHeight="1" x14ac:dyDescent="0.3">
      <c r="A15" s="420"/>
      <c r="B15" s="408"/>
      <c r="C15" s="672" t="s">
        <v>1771</v>
      </c>
      <c r="D15" s="415"/>
      <c r="E15" s="922"/>
      <c r="F15" s="415"/>
      <c r="G15" s="699"/>
      <c r="H15" s="1151"/>
      <c r="I15" s="806"/>
      <c r="J15" s="988" t="s">
        <v>1694</v>
      </c>
      <c r="K15" s="956"/>
      <c r="L15" s="956"/>
      <c r="M15" s="956">
        <v>829175</v>
      </c>
      <c r="N15" s="975">
        <v>11</v>
      </c>
    </row>
    <row r="16" spans="1:14" ht="15" customHeight="1" x14ac:dyDescent="0.25">
      <c r="A16" s="420"/>
      <c r="B16" s="408"/>
      <c r="C16" s="408" t="s">
        <v>1700</v>
      </c>
      <c r="D16" s="415"/>
      <c r="E16" s="429"/>
      <c r="F16" s="415"/>
      <c r="G16" s="479"/>
      <c r="H16" s="1152">
        <f>+M17</f>
        <v>4399550</v>
      </c>
      <c r="I16" s="806"/>
      <c r="J16" s="986" t="s">
        <v>1695</v>
      </c>
      <c r="K16" s="956"/>
      <c r="L16" s="956"/>
      <c r="M16" s="960">
        <f>-1*N37</f>
        <v>-142700</v>
      </c>
      <c r="N16" s="975" t="s">
        <v>1691</v>
      </c>
    </row>
    <row r="17" spans="1:14" ht="15" customHeight="1" thickBot="1" x14ac:dyDescent="0.3">
      <c r="A17" s="420"/>
      <c r="B17" s="435" t="s">
        <v>1466</v>
      </c>
      <c r="C17" s="415"/>
      <c r="D17" s="415"/>
      <c r="E17" s="415"/>
      <c r="F17" s="415"/>
      <c r="G17" s="415"/>
      <c r="H17" s="1151"/>
      <c r="I17" s="806"/>
      <c r="J17" s="989" t="s">
        <v>1542</v>
      </c>
      <c r="K17" s="976"/>
      <c r="L17" s="976"/>
      <c r="M17" s="977">
        <f>SUM(M6:M16)</f>
        <v>4399550</v>
      </c>
      <c r="N17" s="978"/>
    </row>
    <row r="18" spans="1:14" ht="16.5" customHeight="1" thickBot="1" x14ac:dyDescent="0.3">
      <c r="A18" s="420"/>
      <c r="B18" s="688">
        <v>0.15</v>
      </c>
      <c r="C18" s="890" t="s">
        <v>1677</v>
      </c>
      <c r="D18" s="415"/>
      <c r="E18" s="408"/>
      <c r="F18" s="415"/>
      <c r="G18" s="415"/>
      <c r="H18" s="1151"/>
      <c r="I18" s="806"/>
    </row>
    <row r="19" spans="1:14" ht="16.5" customHeight="1" x14ac:dyDescent="0.25">
      <c r="A19" s="420"/>
      <c r="B19" s="858">
        <v>44129</v>
      </c>
      <c r="C19" s="524" t="s">
        <v>1469</v>
      </c>
      <c r="D19" s="415"/>
      <c r="E19" s="423"/>
      <c r="F19" s="415"/>
      <c r="G19" s="411">
        <f>+N19</f>
        <v>3600000</v>
      </c>
      <c r="H19" s="1151"/>
      <c r="I19" s="806"/>
      <c r="J19" s="764" t="s">
        <v>1794</v>
      </c>
      <c r="K19" s="971"/>
      <c r="L19" s="971"/>
      <c r="M19" s="971"/>
      <c r="N19" s="991">
        <v>3600000</v>
      </c>
    </row>
    <row r="20" spans="1:14" ht="16.5" customHeight="1" x14ac:dyDescent="0.25">
      <c r="A20" s="420"/>
      <c r="B20" s="858"/>
      <c r="C20" s="857" t="s">
        <v>1680</v>
      </c>
      <c r="D20" s="415"/>
      <c r="E20" s="885"/>
      <c r="F20" s="415"/>
      <c r="G20" s="415">
        <f>+N20</f>
        <v>8000</v>
      </c>
      <c r="H20" s="1151"/>
      <c r="I20" s="806"/>
      <c r="J20" s="768" t="s">
        <v>824</v>
      </c>
      <c r="K20" s="863"/>
      <c r="L20" s="863"/>
      <c r="M20" s="863"/>
      <c r="N20" s="948">
        <v>8000</v>
      </c>
    </row>
    <row r="21" spans="1:14" ht="18" customHeight="1" x14ac:dyDescent="0.25">
      <c r="A21" s="420"/>
      <c r="B21" s="858">
        <v>43779</v>
      </c>
      <c r="C21" s="857" t="s">
        <v>1678</v>
      </c>
      <c r="D21" s="415"/>
      <c r="E21" s="963"/>
      <c r="F21" s="415"/>
      <c r="G21" s="681">
        <f>+N21</f>
        <v>2190000</v>
      </c>
      <c r="H21" s="1282">
        <f>G19-G20-G21</f>
        <v>1402000</v>
      </c>
      <c r="I21" s="806"/>
      <c r="J21" s="992" t="s">
        <v>1795</v>
      </c>
      <c r="K21" s="863"/>
      <c r="L21" s="863"/>
      <c r="M21" s="863"/>
      <c r="N21" s="948">
        <v>2190000</v>
      </c>
    </row>
    <row r="22" spans="1:14" ht="18" customHeight="1" x14ac:dyDescent="0.25">
      <c r="A22" s="420"/>
      <c r="B22" s="858"/>
      <c r="C22" s="857" t="s">
        <v>1679</v>
      </c>
      <c r="D22" s="415"/>
      <c r="E22" s="653" t="s">
        <v>1111</v>
      </c>
      <c r="F22" s="963">
        <f>+N22</f>
        <v>2700000</v>
      </c>
      <c r="G22" s="415"/>
      <c r="H22" s="1151"/>
      <c r="I22" s="806"/>
      <c r="J22" s="992" t="s">
        <v>1684</v>
      </c>
      <c r="K22" s="1272"/>
      <c r="L22" s="1280" t="s">
        <v>1111</v>
      </c>
      <c r="M22" s="863"/>
      <c r="N22" s="948">
        <v>2700000</v>
      </c>
    </row>
    <row r="23" spans="1:14" ht="20.25" customHeight="1" x14ac:dyDescent="0.25">
      <c r="A23" s="420"/>
      <c r="B23" s="688">
        <v>0.2</v>
      </c>
      <c r="C23" s="890" t="s">
        <v>1515</v>
      </c>
      <c r="D23" s="408"/>
      <c r="E23" s="408"/>
      <c r="F23" s="408"/>
      <c r="G23" s="415"/>
      <c r="H23" s="1151"/>
      <c r="I23" s="806"/>
      <c r="J23" s="945" t="s">
        <v>1796</v>
      </c>
      <c r="K23" s="788"/>
      <c r="L23" s="788"/>
      <c r="M23" s="788"/>
      <c r="N23" s="789">
        <v>9000000</v>
      </c>
    </row>
    <row r="24" spans="1:14" ht="18.75" customHeight="1" x14ac:dyDescent="0.25">
      <c r="A24" s="420"/>
      <c r="B24" s="852">
        <v>44247</v>
      </c>
      <c r="C24" s="524" t="s">
        <v>1469</v>
      </c>
      <c r="D24" s="415"/>
      <c r="E24" s="415"/>
      <c r="F24" s="408"/>
      <c r="G24" s="411">
        <v>9000000</v>
      </c>
      <c r="H24" s="1153"/>
      <c r="I24" s="806"/>
      <c r="J24" s="993" t="s">
        <v>1681</v>
      </c>
      <c r="K24" s="1273">
        <v>32674</v>
      </c>
      <c r="L24" s="788"/>
      <c r="M24" s="788"/>
      <c r="N24" s="789">
        <v>278000</v>
      </c>
    </row>
    <row r="25" spans="1:14" ht="16.5" customHeight="1" x14ac:dyDescent="0.25">
      <c r="A25" s="420"/>
      <c r="B25" s="408"/>
      <c r="C25" s="857" t="s">
        <v>1471</v>
      </c>
      <c r="D25" s="415"/>
      <c r="E25" s="415"/>
      <c r="F25" s="408">
        <v>2000</v>
      </c>
      <c r="G25" s="408"/>
      <c r="H25" s="1153"/>
      <c r="I25" s="806"/>
      <c r="J25" s="993" t="s">
        <v>1801</v>
      </c>
      <c r="K25" s="1273">
        <v>36982</v>
      </c>
      <c r="L25" s="788"/>
      <c r="M25" s="788"/>
      <c r="N25" s="789">
        <v>402000</v>
      </c>
    </row>
    <row r="26" spans="1:14" ht="16.5" customHeight="1" x14ac:dyDescent="0.25">
      <c r="A26" s="420"/>
      <c r="B26" s="858">
        <v>36982</v>
      </c>
      <c r="C26" s="857" t="s">
        <v>1470</v>
      </c>
      <c r="D26" s="408"/>
      <c r="E26" s="679" t="s">
        <v>1804</v>
      </c>
      <c r="F26" s="683">
        <f>ROUND(402000*301/100,0)</f>
        <v>1210020</v>
      </c>
      <c r="G26" s="479">
        <f>F25+F26</f>
        <v>1212020</v>
      </c>
      <c r="H26" s="1282">
        <f>G24-G26</f>
        <v>7787980</v>
      </c>
      <c r="I26" s="806"/>
      <c r="J26" s="993" t="s">
        <v>1797</v>
      </c>
      <c r="K26" s="788"/>
      <c r="L26" s="788"/>
      <c r="M26" s="788"/>
      <c r="N26" s="789">
        <v>301</v>
      </c>
    </row>
    <row r="27" spans="1:14" ht="16.5" customHeight="1" x14ac:dyDescent="0.25">
      <c r="A27" s="420"/>
      <c r="B27" s="858">
        <v>44256</v>
      </c>
      <c r="C27" s="524" t="s">
        <v>1682</v>
      </c>
      <c r="D27" s="415"/>
      <c r="E27" s="653" t="s">
        <v>1672</v>
      </c>
      <c r="F27" s="415"/>
      <c r="G27" s="415"/>
      <c r="H27" s="1153"/>
      <c r="I27" s="806"/>
      <c r="J27" s="993" t="s">
        <v>1802</v>
      </c>
      <c r="K27" s="1273">
        <v>44256</v>
      </c>
      <c r="L27" s="1278" t="s">
        <v>1805</v>
      </c>
      <c r="M27" s="788"/>
      <c r="N27" s="789">
        <v>2000000</v>
      </c>
    </row>
    <row r="28" spans="1:14" ht="16.5" customHeight="1" thickBot="1" x14ac:dyDescent="0.3">
      <c r="A28" s="420"/>
      <c r="B28" s="871">
        <v>44288</v>
      </c>
      <c r="C28" s="524" t="s">
        <v>1683</v>
      </c>
      <c r="D28" s="415"/>
      <c r="E28" s="653" t="s">
        <v>1672</v>
      </c>
      <c r="F28" s="415"/>
      <c r="G28" s="415"/>
      <c r="H28" s="1153"/>
      <c r="I28" s="806"/>
      <c r="J28" s="1274" t="s">
        <v>1803</v>
      </c>
      <c r="K28" s="1275">
        <v>44288</v>
      </c>
      <c r="L28" s="1279" t="s">
        <v>1805</v>
      </c>
      <c r="M28" s="1276"/>
      <c r="N28" s="1277">
        <v>4000000</v>
      </c>
    </row>
    <row r="29" spans="1:14" ht="20.100000000000001" customHeight="1" thickTop="1" thickBot="1" x14ac:dyDescent="0.3">
      <c r="A29" s="420"/>
      <c r="B29" s="435" t="s">
        <v>1467</v>
      </c>
      <c r="C29" s="415"/>
      <c r="D29" s="415"/>
      <c r="E29" s="415"/>
      <c r="F29" s="415"/>
      <c r="G29" s="415"/>
      <c r="H29" s="1151"/>
      <c r="I29" s="958"/>
    </row>
    <row r="30" spans="1:14" ht="13.5" customHeight="1" x14ac:dyDescent="0.25">
      <c r="A30" s="420"/>
      <c r="B30" s="435"/>
      <c r="C30" s="431" t="s">
        <v>1247</v>
      </c>
      <c r="D30" s="415"/>
      <c r="E30" s="415"/>
      <c r="F30" s="415"/>
      <c r="G30" s="411">
        <v>70980</v>
      </c>
      <c r="H30" s="1151"/>
      <c r="I30" s="958"/>
      <c r="J30" s="995" t="s">
        <v>1518</v>
      </c>
      <c r="K30" s="996"/>
      <c r="L30" s="997">
        <v>2500000</v>
      </c>
      <c r="M30" s="996"/>
      <c r="N30" s="998"/>
    </row>
    <row r="31" spans="1:14" ht="13.8" x14ac:dyDescent="0.3">
      <c r="A31" s="420"/>
      <c r="B31" s="853"/>
      <c r="C31" s="431" t="s">
        <v>1516</v>
      </c>
      <c r="D31" s="431"/>
      <c r="E31" s="431"/>
      <c r="F31" s="415"/>
      <c r="G31" s="411">
        <v>8000</v>
      </c>
      <c r="H31" s="1151"/>
      <c r="I31" s="958"/>
      <c r="J31" s="999" t="s">
        <v>1543</v>
      </c>
      <c r="K31" s="962">
        <v>0.1</v>
      </c>
      <c r="L31" s="955"/>
      <c r="M31" s="955"/>
      <c r="N31" s="1000">
        <f>L30*10%/2</f>
        <v>125000</v>
      </c>
    </row>
    <row r="32" spans="1:14" ht="13.8" x14ac:dyDescent="0.3">
      <c r="A32" s="420"/>
      <c r="B32" s="853"/>
      <c r="C32" s="669" t="s">
        <v>1472</v>
      </c>
      <c r="D32" s="669"/>
      <c r="E32" s="872">
        <v>80000</v>
      </c>
      <c r="F32" s="415"/>
      <c r="G32" s="411"/>
      <c r="H32" s="1151"/>
      <c r="I32" s="958"/>
      <c r="J32" s="1001" t="s">
        <v>1798</v>
      </c>
      <c r="K32" s="994">
        <v>0.4</v>
      </c>
      <c r="L32" s="954">
        <v>40000</v>
      </c>
      <c r="M32" s="994"/>
      <c r="N32" s="1002"/>
    </row>
    <row r="33" spans="1:14" ht="13.8" x14ac:dyDescent="0.3">
      <c r="A33" s="420"/>
      <c r="B33" s="891" t="s">
        <v>1473</v>
      </c>
      <c r="C33" s="873" t="s">
        <v>1517</v>
      </c>
      <c r="D33" s="809"/>
      <c r="E33" s="874">
        <v>40000</v>
      </c>
      <c r="F33" s="408"/>
      <c r="G33" s="462"/>
      <c r="H33" s="1151"/>
      <c r="I33" s="958"/>
      <c r="J33" s="1001" t="s">
        <v>1799</v>
      </c>
      <c r="K33" s="954"/>
      <c r="L33" s="966">
        <v>8000</v>
      </c>
      <c r="M33" s="954">
        <f>(L32-L33)*40%</f>
        <v>12800</v>
      </c>
      <c r="N33" s="1002"/>
    </row>
    <row r="34" spans="1:14" ht="15" customHeight="1" thickBot="1" x14ac:dyDescent="0.35">
      <c r="A34" s="420"/>
      <c r="B34" s="854"/>
      <c r="C34" s="431"/>
      <c r="D34" s="434"/>
      <c r="E34" s="433"/>
      <c r="F34" s="433"/>
      <c r="G34" s="480">
        <f>SUM(G30:G33)</f>
        <v>78980</v>
      </c>
      <c r="H34" s="1162">
        <f>+G34</f>
        <v>78980</v>
      </c>
      <c r="I34" s="958"/>
      <c r="J34" s="1001" t="s">
        <v>1401</v>
      </c>
      <c r="K34" s="954"/>
      <c r="L34" s="954">
        <v>12000</v>
      </c>
      <c r="M34" s="954">
        <f>L34*40%/2</f>
        <v>2400</v>
      </c>
      <c r="N34" s="1003">
        <f>SUM(M33:M34)</f>
        <v>15200</v>
      </c>
    </row>
    <row r="35" spans="1:14" ht="15" customHeight="1" x14ac:dyDescent="0.3">
      <c r="A35" s="420"/>
      <c r="B35" s="435" t="s">
        <v>501</v>
      </c>
      <c r="C35" s="415"/>
      <c r="D35" s="434"/>
      <c r="E35" s="433"/>
      <c r="F35" s="433"/>
      <c r="G35" s="437"/>
      <c r="H35" s="1283">
        <f>SUM(H8:H34)</f>
        <v>13668510</v>
      </c>
      <c r="I35" s="958"/>
      <c r="J35" s="1004" t="s">
        <v>1800</v>
      </c>
      <c r="K35" s="964"/>
      <c r="L35" s="961">
        <v>10000</v>
      </c>
      <c r="M35" s="964"/>
      <c r="N35" s="1005"/>
    </row>
    <row r="36" spans="1:14" ht="15" customHeight="1" x14ac:dyDescent="0.3">
      <c r="A36" s="420"/>
      <c r="B36" s="854"/>
      <c r="C36" s="445" t="s">
        <v>1478</v>
      </c>
      <c r="D36" s="415"/>
      <c r="E36" s="428"/>
      <c r="F36" s="428"/>
      <c r="G36" s="424"/>
      <c r="H36" s="1153"/>
      <c r="I36" s="806"/>
      <c r="J36" s="1008" t="s">
        <v>1519</v>
      </c>
      <c r="K36" s="1010">
        <v>0.1</v>
      </c>
      <c r="L36" s="965">
        <v>15000</v>
      </c>
      <c r="M36" s="1009"/>
      <c r="N36" s="1011">
        <f>(L35+L36)*10%</f>
        <v>2500</v>
      </c>
    </row>
    <row r="37" spans="1:14" ht="15" customHeight="1" thickBot="1" x14ac:dyDescent="0.3">
      <c r="A37" s="420"/>
      <c r="B37" s="653" t="s">
        <v>1480</v>
      </c>
      <c r="C37" s="408" t="s">
        <v>1535</v>
      </c>
      <c r="D37" s="1284" t="s">
        <v>1427</v>
      </c>
      <c r="E37" s="702">
        <v>30803</v>
      </c>
      <c r="F37" s="416">
        <v>30000</v>
      </c>
      <c r="G37" s="424"/>
      <c r="H37" s="1151"/>
      <c r="I37" s="806"/>
      <c r="J37" s="1006"/>
      <c r="K37" s="856"/>
      <c r="L37" s="856"/>
      <c r="M37" s="477" t="s">
        <v>1699</v>
      </c>
      <c r="N37" s="1007">
        <f>N31+N34+N36</f>
        <v>142700</v>
      </c>
    </row>
    <row r="38" spans="1:14" ht="15" customHeight="1" x14ac:dyDescent="0.3">
      <c r="A38" s="420"/>
      <c r="B38" s="854"/>
      <c r="C38" s="408" t="s">
        <v>1692</v>
      </c>
      <c r="D38" s="1284" t="s">
        <v>1479</v>
      </c>
      <c r="E38" s="702">
        <v>42539</v>
      </c>
      <c r="F38" s="653" t="s">
        <v>1480</v>
      </c>
      <c r="G38" s="411">
        <v>70000</v>
      </c>
      <c r="H38" s="1151">
        <v>70000</v>
      </c>
      <c r="I38" s="806"/>
    </row>
    <row r="39" spans="1:14" ht="15" customHeight="1" thickBot="1" x14ac:dyDescent="0.3">
      <c r="A39" s="420"/>
      <c r="B39" s="435"/>
      <c r="C39" s="415"/>
      <c r="D39" s="415"/>
      <c r="E39" s="428"/>
      <c r="F39" s="428"/>
      <c r="G39" s="428"/>
      <c r="H39" s="1162">
        <f>+G39</f>
        <v>0</v>
      </c>
      <c r="I39" s="806"/>
    </row>
    <row r="40" spans="1:14" ht="15" customHeight="1" x14ac:dyDescent="0.25">
      <c r="A40" s="420"/>
      <c r="B40" s="435" t="s">
        <v>501</v>
      </c>
      <c r="C40" s="415"/>
      <c r="D40" s="415"/>
      <c r="E40" s="428"/>
      <c r="F40" s="428"/>
      <c r="G40" s="424"/>
      <c r="H40" s="1285">
        <f>H35-H38</f>
        <v>13598510</v>
      </c>
      <c r="I40" s="806"/>
    </row>
    <row r="41" spans="1:14" ht="15" customHeight="1" x14ac:dyDescent="0.25">
      <c r="A41" s="420"/>
      <c r="B41" s="590" t="s">
        <v>1468</v>
      </c>
      <c r="C41" s="415"/>
      <c r="D41" s="415"/>
      <c r="E41" s="415"/>
      <c r="F41" s="415"/>
      <c r="G41" s="415"/>
      <c r="H41" s="1151"/>
      <c r="I41" s="958"/>
    </row>
    <row r="42" spans="1:14" ht="15" customHeight="1" x14ac:dyDescent="0.25">
      <c r="A42" s="420"/>
      <c r="B42" s="680"/>
      <c r="C42" s="435" t="s">
        <v>1483</v>
      </c>
      <c r="D42" s="415"/>
      <c r="E42" s="415"/>
      <c r="F42" s="415"/>
      <c r="G42" s="423"/>
      <c r="H42" s="1151"/>
      <c r="I42" s="958"/>
    </row>
    <row r="43" spans="1:14" ht="15" customHeight="1" x14ac:dyDescent="0.25">
      <c r="A43" s="420"/>
      <c r="B43" s="680"/>
      <c r="C43" s="431" t="s">
        <v>509</v>
      </c>
      <c r="D43" s="415"/>
      <c r="E43" s="415"/>
      <c r="F43" s="411">
        <v>110000</v>
      </c>
      <c r="G43" s="423"/>
      <c r="H43" s="1151"/>
      <c r="I43" s="958"/>
    </row>
    <row r="44" spans="1:14" ht="15" customHeight="1" x14ac:dyDescent="0.25">
      <c r="A44" s="420"/>
      <c r="B44" s="680"/>
      <c r="C44" s="431"/>
      <c r="D44" s="415"/>
      <c r="E44" s="415"/>
      <c r="F44" s="448">
        <f>SUM(F43:F43)</f>
        <v>110000</v>
      </c>
      <c r="G44" s="415">
        <f>IF(F44&gt;150000,150000,F44)</f>
        <v>110000</v>
      </c>
      <c r="H44" s="1151"/>
      <c r="I44" s="958"/>
    </row>
    <row r="45" spans="1:14" ht="15" customHeight="1" x14ac:dyDescent="0.25">
      <c r="A45" s="420"/>
      <c r="B45" s="680"/>
      <c r="C45" s="859" t="s">
        <v>1081</v>
      </c>
      <c r="D45" s="415"/>
      <c r="E45" s="415"/>
      <c r="F45" s="450"/>
      <c r="G45" s="415">
        <v>30000</v>
      </c>
      <c r="H45" s="1151"/>
      <c r="I45" s="958"/>
    </row>
    <row r="46" spans="1:14" ht="15" customHeight="1" x14ac:dyDescent="0.25">
      <c r="A46" s="420"/>
      <c r="B46" s="680"/>
      <c r="C46" s="449" t="s">
        <v>1249</v>
      </c>
      <c r="D46" s="415"/>
      <c r="E46" s="415"/>
      <c r="F46" s="415"/>
      <c r="G46" s="411">
        <v>50000</v>
      </c>
      <c r="H46" s="1151"/>
      <c r="I46" s="958"/>
    </row>
    <row r="47" spans="1:14" ht="15" customHeight="1" x14ac:dyDescent="0.25">
      <c r="A47" s="420"/>
      <c r="B47" s="669" t="s">
        <v>1170</v>
      </c>
      <c r="C47" s="449" t="s">
        <v>1520</v>
      </c>
      <c r="D47" s="415"/>
      <c r="E47" s="428" t="s">
        <v>1701</v>
      </c>
      <c r="F47" s="428"/>
      <c r="G47" s="447">
        <v>33000</v>
      </c>
      <c r="H47" s="1151"/>
      <c r="I47" s="958"/>
    </row>
    <row r="48" spans="1:14" ht="15" customHeight="1" x14ac:dyDescent="0.25">
      <c r="A48" s="420"/>
      <c r="B48" s="680"/>
      <c r="C48" s="449" t="s">
        <v>1216</v>
      </c>
      <c r="D48" s="857" t="s">
        <v>1536</v>
      </c>
      <c r="E48" s="428"/>
      <c r="F48" s="428"/>
      <c r="G48" s="411"/>
      <c r="H48" s="1151"/>
      <c r="I48" s="958"/>
    </row>
    <row r="49" spans="1:14" ht="15" customHeight="1" x14ac:dyDescent="0.25">
      <c r="A49" s="420"/>
      <c r="B49" s="669" t="s">
        <v>1170</v>
      </c>
      <c r="C49" s="449" t="s">
        <v>1685</v>
      </c>
      <c r="D49" s="857"/>
      <c r="E49" s="1012">
        <f>+G30+G31</f>
        <v>78980</v>
      </c>
      <c r="F49" s="428"/>
      <c r="G49" s="447">
        <v>50000</v>
      </c>
      <c r="H49" s="1151"/>
      <c r="I49" s="958"/>
    </row>
    <row r="50" spans="1:14" x14ac:dyDescent="0.25">
      <c r="A50" s="420"/>
      <c r="B50" s="408"/>
      <c r="C50" s="415"/>
      <c r="D50" s="415"/>
      <c r="E50" s="415"/>
      <c r="F50" s="415"/>
      <c r="G50" s="415"/>
      <c r="H50" s="1151">
        <f>SUM(G44:G49)</f>
        <v>273000</v>
      </c>
      <c r="I50" s="806"/>
    </row>
    <row r="51" spans="1:14" ht="15.75" customHeight="1" thickBot="1" x14ac:dyDescent="0.3">
      <c r="A51" s="420"/>
      <c r="B51" s="855" t="s">
        <v>777</v>
      </c>
      <c r="C51" s="415"/>
      <c r="D51" s="415"/>
      <c r="E51" s="452"/>
      <c r="F51" s="453" t="s">
        <v>779</v>
      </c>
      <c r="G51" s="440"/>
      <c r="H51" s="1155">
        <f>H40-H50</f>
        <v>13325510</v>
      </c>
      <c r="I51" s="806"/>
    </row>
    <row r="52" spans="1:14" ht="15" customHeight="1" thickTop="1" x14ac:dyDescent="0.25">
      <c r="A52" s="420"/>
      <c r="B52" s="449" t="s">
        <v>778</v>
      </c>
      <c r="C52" s="415"/>
      <c r="D52" s="415"/>
      <c r="E52" s="444" t="s">
        <v>521</v>
      </c>
      <c r="F52" s="454" t="s">
        <v>522</v>
      </c>
      <c r="G52" s="444" t="s">
        <v>524</v>
      </c>
      <c r="H52" s="1156"/>
      <c r="I52" s="958"/>
      <c r="J52" s="967" t="s">
        <v>1814</v>
      </c>
      <c r="K52" s="967"/>
      <c r="L52" s="423"/>
    </row>
    <row r="53" spans="1:14" ht="15" customHeight="1" x14ac:dyDescent="0.25">
      <c r="A53" s="420"/>
      <c r="B53" s="877">
        <v>15724</v>
      </c>
      <c r="C53" s="467" t="str">
        <f>IF(B53&lt;21277,"Sr Citizen",0)</f>
        <v>Sr Citizen</v>
      </c>
      <c r="D53" s="408" t="s">
        <v>1534</v>
      </c>
      <c r="E53" s="455">
        <f>H51-E55-E54</f>
        <v>4135530</v>
      </c>
      <c r="F53" s="456"/>
      <c r="G53" s="415">
        <f>IF(+C53="Sr Citizen",ROUND(IF(E53&gt;1000000,(((E53-1000000)*0.3)+110000),IF(E53&gt;500000,(((E53-500000)*0.2)+10000),IF(E53&gt;300000,((E53-300000)*0.05),0))),0),ROUND(IF(E53&gt;1000000,(((E53-1000000)*0.3)+112500),IF(E53&gt;500000,(((E53-500000)*0.2)+12500),IF(E53&gt;250000,((E53-250000)*0.05),0))),0))</f>
        <v>1050659</v>
      </c>
      <c r="H53" s="1156"/>
      <c r="I53" s="958"/>
      <c r="J53" s="967" t="s">
        <v>1815</v>
      </c>
      <c r="K53" s="1291">
        <v>0.05</v>
      </c>
      <c r="L53" s="656">
        <v>10000</v>
      </c>
      <c r="M53" s="682"/>
      <c r="N53" s="682"/>
    </row>
    <row r="54" spans="1:14" ht="15" customHeight="1" x14ac:dyDescent="0.25">
      <c r="A54" s="420"/>
      <c r="B54" s="877"/>
      <c r="C54" s="467"/>
      <c r="D54" s="408" t="s">
        <v>1522</v>
      </c>
      <c r="E54" s="455">
        <f>+H21</f>
        <v>1402000</v>
      </c>
      <c r="F54" s="678">
        <v>0.15</v>
      </c>
      <c r="G54" s="415">
        <f>ROUND(E54*F54,0)</f>
        <v>210300</v>
      </c>
      <c r="H54" s="1156"/>
      <c r="I54" s="958"/>
      <c r="J54" s="967" t="s">
        <v>1812</v>
      </c>
      <c r="K54" s="1291">
        <v>0.2</v>
      </c>
      <c r="L54" s="656">
        <v>100000</v>
      </c>
      <c r="M54" s="682"/>
      <c r="N54" s="682"/>
    </row>
    <row r="55" spans="1:14" ht="15" customHeight="1" x14ac:dyDescent="0.25">
      <c r="A55" s="420"/>
      <c r="B55" s="408"/>
      <c r="C55" s="415"/>
      <c r="D55" s="408" t="s">
        <v>1522</v>
      </c>
      <c r="E55" s="749">
        <f>+H26</f>
        <v>7787980</v>
      </c>
      <c r="F55" s="678">
        <v>0.2</v>
      </c>
      <c r="G55" s="527">
        <f>ROUND(E55*F55,0)</f>
        <v>1557596</v>
      </c>
      <c r="H55" s="1157">
        <f>G53+G55+G54</f>
        <v>2818555</v>
      </c>
      <c r="I55" s="806"/>
      <c r="J55" s="967" t="s">
        <v>1813</v>
      </c>
      <c r="K55" s="1291">
        <v>0.3</v>
      </c>
      <c r="L55" s="656">
        <f>(E53-1000000)*K55</f>
        <v>940659</v>
      </c>
      <c r="M55" s="682"/>
      <c r="N55" s="682"/>
    </row>
    <row r="56" spans="1:14" ht="15" customHeight="1" thickBot="1" x14ac:dyDescent="0.3">
      <c r="A56" s="420"/>
      <c r="B56" s="601" t="s">
        <v>1523</v>
      </c>
      <c r="C56" s="524"/>
      <c r="D56" s="678"/>
      <c r="E56" s="749"/>
      <c r="F56" s="415"/>
      <c r="G56" s="526"/>
      <c r="H56" s="1158">
        <f>IF(H51&gt;10000000,H55*15%,IF(H51&gt;5000000,H55*10%,0))</f>
        <v>422783.25</v>
      </c>
      <c r="I56" s="806"/>
      <c r="J56" s="967"/>
      <c r="K56" s="967"/>
      <c r="L56" s="1292">
        <f>SUM(L52:L55)</f>
        <v>1050659</v>
      </c>
      <c r="M56" s="682"/>
      <c r="N56" s="682"/>
    </row>
    <row r="57" spans="1:14" ht="15" customHeight="1" thickTop="1" x14ac:dyDescent="0.25">
      <c r="A57" s="420"/>
      <c r="B57" s="415"/>
      <c r="C57" s="524"/>
      <c r="D57" s="415"/>
      <c r="E57" s="749"/>
      <c r="F57" s="750"/>
      <c r="G57" s="526"/>
      <c r="H57" s="1157">
        <f>H55+H56</f>
        <v>3241338.25</v>
      </c>
      <c r="I57" s="806"/>
      <c r="J57" s="967"/>
      <c r="K57" s="967"/>
      <c r="L57" s="656"/>
      <c r="M57" s="682"/>
      <c r="N57" s="682"/>
    </row>
    <row r="58" spans="1:14" ht="15" customHeight="1" x14ac:dyDescent="0.25">
      <c r="A58" s="420"/>
      <c r="B58" s="408" t="s">
        <v>1609</v>
      </c>
      <c r="C58" s="415"/>
      <c r="D58" s="456"/>
      <c r="E58" s="458"/>
      <c r="F58" s="415"/>
      <c r="G58" s="428"/>
      <c r="H58" s="1159">
        <f>ROUND((H57)*0.04,0)</f>
        <v>129654</v>
      </c>
      <c r="I58" s="970"/>
      <c r="J58" s="967"/>
      <c r="K58" s="967"/>
      <c r="L58" s="656"/>
      <c r="M58" s="682"/>
      <c r="N58" s="682"/>
    </row>
    <row r="59" spans="1:14" ht="15" customHeight="1" x14ac:dyDescent="0.25">
      <c r="A59" s="420"/>
      <c r="B59" s="449" t="s">
        <v>565</v>
      </c>
      <c r="C59" s="415"/>
      <c r="D59" s="456"/>
      <c r="E59" s="458"/>
      <c r="F59" s="415"/>
      <c r="G59" s="428"/>
      <c r="H59" s="1160">
        <f>SUM(H57:H58)</f>
        <v>3370992.25</v>
      </c>
      <c r="I59" s="806"/>
      <c r="J59" s="967"/>
      <c r="K59" s="967"/>
      <c r="L59" s="968"/>
      <c r="M59" s="682"/>
      <c r="N59" s="682"/>
    </row>
    <row r="60" spans="1:14" ht="15" customHeight="1" x14ac:dyDescent="0.25">
      <c r="A60" s="420"/>
      <c r="B60" s="431" t="s">
        <v>1808</v>
      </c>
      <c r="C60" s="415"/>
      <c r="D60" s="456"/>
      <c r="E60" s="458"/>
      <c r="F60" s="415"/>
      <c r="G60" s="428"/>
      <c r="H60" s="1286">
        <f>+H76</f>
        <v>594183</v>
      </c>
      <c r="I60" s="806"/>
      <c r="J60" s="967"/>
      <c r="K60" s="967"/>
      <c r="L60" s="968"/>
      <c r="M60" s="682"/>
      <c r="N60" s="682"/>
    </row>
    <row r="61" spans="1:14" ht="15" customHeight="1" x14ac:dyDescent="0.25">
      <c r="A61" s="420"/>
      <c r="B61" s="431" t="s">
        <v>1809</v>
      </c>
      <c r="C61" s="415"/>
      <c r="D61" s="456"/>
      <c r="E61" s="458"/>
      <c r="F61" s="415"/>
      <c r="G61" s="428"/>
      <c r="H61" s="1287">
        <v>5000</v>
      </c>
      <c r="I61" s="806"/>
      <c r="J61" s="967"/>
      <c r="K61" s="967"/>
      <c r="L61" s="656"/>
      <c r="M61" s="682"/>
      <c r="N61" s="682"/>
    </row>
    <row r="62" spans="1:14" ht="15" customHeight="1" x14ac:dyDescent="0.25">
      <c r="A62" s="420"/>
      <c r="B62" s="415"/>
      <c r="C62" s="415"/>
      <c r="D62" s="456"/>
      <c r="E62" s="458"/>
      <c r="F62" s="415"/>
      <c r="G62" s="428"/>
      <c r="H62" s="1160">
        <f>H59+H61+H60</f>
        <v>3970175.25</v>
      </c>
      <c r="I62" s="806"/>
      <c r="J62" s="967"/>
      <c r="K62" s="967"/>
      <c r="L62" s="656"/>
      <c r="M62" s="682"/>
      <c r="N62" s="682"/>
    </row>
    <row r="63" spans="1:14" ht="15" customHeight="1" x14ac:dyDescent="0.25">
      <c r="A63" s="420"/>
      <c r="B63" s="435" t="s">
        <v>571</v>
      </c>
      <c r="C63" s="428"/>
      <c r="D63" s="428"/>
      <c r="E63" s="428"/>
      <c r="F63" s="428"/>
      <c r="G63" s="428"/>
      <c r="H63" s="1161"/>
      <c r="I63" s="958"/>
      <c r="J63" s="967"/>
      <c r="K63" s="967"/>
      <c r="L63" s="656"/>
      <c r="M63" s="682"/>
      <c r="N63" s="682"/>
    </row>
    <row r="64" spans="1:14" ht="15" customHeight="1" x14ac:dyDescent="0.3">
      <c r="A64" s="420"/>
      <c r="B64" s="886">
        <v>44089</v>
      </c>
      <c r="C64" s="1340" t="s">
        <v>993</v>
      </c>
      <c r="D64" s="1340"/>
      <c r="E64" s="703"/>
      <c r="F64" s="1269"/>
      <c r="G64" s="447">
        <v>84000</v>
      </c>
      <c r="H64" s="1151"/>
      <c r="I64" s="806"/>
      <c r="J64" s="967"/>
      <c r="K64" s="967"/>
      <c r="L64" s="656"/>
      <c r="M64" s="682"/>
      <c r="N64" s="682"/>
    </row>
    <row r="65" spans="1:14" ht="15" customHeight="1" x14ac:dyDescent="0.3">
      <c r="A65" s="420"/>
      <c r="B65" s="886">
        <v>44206</v>
      </c>
      <c r="C65" s="1340" t="s">
        <v>993</v>
      </c>
      <c r="D65" s="1340"/>
      <c r="E65" s="876"/>
      <c r="F65" s="1269"/>
      <c r="G65" s="410">
        <v>60000</v>
      </c>
      <c r="H65" s="1151"/>
      <c r="I65" s="806"/>
      <c r="J65" s="967"/>
      <c r="K65" s="967"/>
      <c r="L65" s="656"/>
      <c r="M65" s="682"/>
      <c r="N65" s="682"/>
    </row>
    <row r="66" spans="1:14" ht="15" customHeight="1" x14ac:dyDescent="0.3">
      <c r="A66" s="420"/>
      <c r="B66" s="588"/>
      <c r="C66" s="1340" t="s">
        <v>1693</v>
      </c>
      <c r="D66" s="1340"/>
      <c r="E66" s="1340"/>
      <c r="F66" s="1340"/>
      <c r="G66" s="410">
        <v>28000</v>
      </c>
      <c r="H66" s="1151"/>
      <c r="I66" s="806"/>
      <c r="J66" s="967"/>
      <c r="K66" s="967"/>
      <c r="L66" s="656"/>
      <c r="M66" s="682"/>
      <c r="N66" s="682"/>
    </row>
    <row r="67" spans="1:14" ht="15" customHeight="1" thickBot="1" x14ac:dyDescent="0.35">
      <c r="A67" s="414"/>
      <c r="B67" s="856"/>
      <c r="C67" s="1342"/>
      <c r="D67" s="1342"/>
      <c r="E67" s="707"/>
      <c r="F67" s="1270"/>
      <c r="G67" s="481"/>
      <c r="H67" s="1162">
        <f>SUM(G64:G67)</f>
        <v>172000</v>
      </c>
      <c r="I67" s="806"/>
      <c r="J67" s="967"/>
      <c r="K67" s="967"/>
      <c r="L67" s="656"/>
      <c r="M67" s="682"/>
      <c r="N67" s="682"/>
    </row>
    <row r="68" spans="1:14" ht="18" customHeight="1" thickBot="1" x14ac:dyDescent="0.3">
      <c r="A68" s="494"/>
      <c r="B68" s="843" t="str">
        <f>IF(H68=0,"TAX  PAYABLE / REFUND ",IF(H68&lt;0,"REFUND","TAX  PAYABLE"))</f>
        <v>TAX  PAYABLE</v>
      </c>
      <c r="C68" s="704"/>
      <c r="D68" s="745"/>
      <c r="E68" s="705"/>
      <c r="F68" s="706" t="s">
        <v>776</v>
      </c>
      <c r="G68" s="497"/>
      <c r="H68" s="1163">
        <f>H62-H67</f>
        <v>3798175.25</v>
      </c>
      <c r="I68" s="806"/>
      <c r="J68" s="967"/>
      <c r="K68" s="967"/>
      <c r="L68" s="656"/>
      <c r="M68" s="682"/>
      <c r="N68" s="682"/>
    </row>
    <row r="69" spans="1:14" ht="13.8" thickBot="1" x14ac:dyDescent="0.3">
      <c r="A69" s="414"/>
      <c r="B69" s="856"/>
      <c r="C69" s="477"/>
      <c r="D69" s="477"/>
      <c r="E69" s="1165" t="s">
        <v>1537</v>
      </c>
      <c r="F69" s="1288" t="s">
        <v>1539</v>
      </c>
      <c r="G69" s="1289" t="s">
        <v>1806</v>
      </c>
      <c r="H69" s="978">
        <v>4270000</v>
      </c>
      <c r="J69" s="967"/>
      <c r="K69" s="967"/>
      <c r="L69" s="423"/>
      <c r="M69" s="682"/>
      <c r="N69" s="682"/>
    </row>
    <row r="70" spans="1:14" x14ac:dyDescent="0.25">
      <c r="A70" s="567"/>
      <c r="B70" s="847"/>
      <c r="C70" s="570"/>
      <c r="D70" s="570"/>
      <c r="E70" s="570"/>
      <c r="F70" s="570"/>
      <c r="I70" s="569"/>
      <c r="M70" s="682"/>
      <c r="N70" s="682"/>
    </row>
    <row r="71" spans="1:14" s="1016" customFormat="1" x14ac:dyDescent="0.25">
      <c r="A71" s="1015"/>
      <c r="B71" s="1016" t="s">
        <v>1774</v>
      </c>
      <c r="C71" s="1195" t="s">
        <v>1783</v>
      </c>
      <c r="I71" s="1023"/>
      <c r="J71" s="416"/>
      <c r="K71" s="1023"/>
    </row>
    <row r="72" spans="1:14" s="1016" customFormat="1" x14ac:dyDescent="0.25">
      <c r="A72" s="1015"/>
      <c r="C72" s="1258" t="s">
        <v>1784</v>
      </c>
      <c r="I72" s="1023"/>
      <c r="K72" s="1263"/>
    </row>
    <row r="73" spans="1:14" s="1016" customFormat="1" x14ac:dyDescent="0.25">
      <c r="A73" s="1015"/>
      <c r="C73" s="1195" t="s">
        <v>1779</v>
      </c>
      <c r="I73" s="1023"/>
      <c r="K73" s="1263"/>
    </row>
    <row r="74" spans="1:14" s="1016" customFormat="1" x14ac:dyDescent="0.25">
      <c r="A74" s="1015"/>
      <c r="C74" s="1195" t="s">
        <v>1785</v>
      </c>
      <c r="I74" s="1023"/>
      <c r="K74" s="1263"/>
    </row>
    <row r="75" spans="1:14" x14ac:dyDescent="0.25">
      <c r="B75" s="416"/>
      <c r="I75" s="1023"/>
      <c r="J75" s="1016"/>
      <c r="K75" s="1264"/>
    </row>
    <row r="76" spans="1:14" s="1016" customFormat="1" x14ac:dyDescent="0.25">
      <c r="A76" s="1268"/>
      <c r="B76" s="1252" t="s">
        <v>1762</v>
      </c>
      <c r="C76" s="1253"/>
      <c r="D76" s="1253"/>
      <c r="E76" s="1253"/>
      <c r="F76" s="1253"/>
      <c r="G76" s="1237" t="s">
        <v>1763</v>
      </c>
      <c r="H76" s="1251">
        <f>+H90+H105+H117</f>
        <v>594183</v>
      </c>
    </row>
    <row r="77" spans="1:14" s="1016" customFormat="1" x14ac:dyDescent="0.25">
      <c r="A77" s="1268"/>
      <c r="B77" s="1202" t="s">
        <v>1764</v>
      </c>
      <c r="C77" s="595"/>
      <c r="D77" s="595"/>
      <c r="E77" s="595"/>
      <c r="F77" s="595"/>
      <c r="G77" s="1238"/>
      <c r="H77" s="1239"/>
      <c r="K77" s="1295"/>
    </row>
    <row r="78" spans="1:14" s="1016" customFormat="1" x14ac:dyDescent="0.25">
      <c r="A78" s="1271"/>
      <c r="B78" s="1202"/>
      <c r="C78" s="595"/>
      <c r="D78" s="595"/>
      <c r="E78" s="595"/>
      <c r="F78" s="595"/>
      <c r="G78" s="1297"/>
      <c r="H78" s="1294"/>
      <c r="J78" s="1296"/>
      <c r="K78" s="1298"/>
    </row>
    <row r="79" spans="1:14" s="1016" customFormat="1" x14ac:dyDescent="0.25">
      <c r="A79" s="1271"/>
      <c r="B79" s="1202"/>
      <c r="C79" s="595"/>
      <c r="D79" s="1206">
        <v>43997</v>
      </c>
      <c r="E79" s="1206">
        <v>44089</v>
      </c>
      <c r="F79" s="1206">
        <v>44180</v>
      </c>
      <c r="G79" s="1206">
        <v>44270</v>
      </c>
      <c r="H79" s="1206">
        <v>44286</v>
      </c>
      <c r="J79" s="1296"/>
      <c r="K79" s="1298"/>
      <c r="L79" s="1306">
        <v>44129</v>
      </c>
      <c r="M79" s="1305">
        <v>44248</v>
      </c>
    </row>
    <row r="80" spans="1:14" s="1016" customFormat="1" x14ac:dyDescent="0.25">
      <c r="A80" s="1268"/>
      <c r="B80" s="1145" t="s">
        <v>1748</v>
      </c>
      <c r="C80" s="595"/>
      <c r="D80" s="1071">
        <f>H80-L82-M82</f>
        <v>1256588.25</v>
      </c>
      <c r="E80" s="1071">
        <f>+D80</f>
        <v>1256588.25</v>
      </c>
      <c r="F80" s="1071">
        <f>E80+L82</f>
        <v>1508107.25</v>
      </c>
      <c r="G80" s="1071">
        <f>F80+M82</f>
        <v>3370992.25</v>
      </c>
      <c r="H80" s="1071">
        <f>+H59</f>
        <v>3370992.25</v>
      </c>
      <c r="J80" s="1299" t="s">
        <v>1817</v>
      </c>
      <c r="K80" s="1300">
        <f>0.2*1.15*1.04</f>
        <v>0.2392</v>
      </c>
      <c r="L80" s="1301" t="s">
        <v>1816</v>
      </c>
      <c r="M80" s="1302" t="s">
        <v>1735</v>
      </c>
    </row>
    <row r="81" spans="1:14" s="1016" customFormat="1" x14ac:dyDescent="0.25">
      <c r="A81" s="1268"/>
      <c r="B81" s="1145" t="s">
        <v>1775</v>
      </c>
      <c r="C81" s="595"/>
      <c r="D81" s="1071">
        <f>+E81</f>
        <v>28000</v>
      </c>
      <c r="E81" s="1071">
        <f>+F81</f>
        <v>28000</v>
      </c>
      <c r="F81" s="1213">
        <f>+G81</f>
        <v>28000</v>
      </c>
      <c r="G81" s="1071">
        <f>+H81</f>
        <v>28000</v>
      </c>
      <c r="H81" s="1071">
        <f>+G66</f>
        <v>28000</v>
      </c>
      <c r="J81" s="1299" t="s">
        <v>1818</v>
      </c>
      <c r="K81" s="1300">
        <f>0.15*1.15*1.04</f>
        <v>0.1794</v>
      </c>
      <c r="L81" s="1301">
        <v>1402000</v>
      </c>
      <c r="M81" s="1302">
        <f>+H26</f>
        <v>7787980</v>
      </c>
    </row>
    <row r="82" spans="1:14" s="1016" customFormat="1" ht="13.8" thickBot="1" x14ac:dyDescent="0.3">
      <c r="A82" s="1268"/>
      <c r="B82" s="1307" t="s">
        <v>1765</v>
      </c>
      <c r="C82" s="1308"/>
      <c r="D82" s="1309">
        <f>D80-D81</f>
        <v>1228588.25</v>
      </c>
      <c r="E82" s="1309">
        <f t="shared" ref="E82:H82" si="0">E80-E81</f>
        <v>1228588.25</v>
      </c>
      <c r="F82" s="1309">
        <f t="shared" si="0"/>
        <v>1480107.25</v>
      </c>
      <c r="G82" s="1309">
        <f t="shared" si="0"/>
        <v>3342992.25</v>
      </c>
      <c r="H82" s="1309">
        <f t="shared" si="0"/>
        <v>3342992.25</v>
      </c>
      <c r="J82" s="1023"/>
      <c r="K82" s="1303" t="s">
        <v>1569</v>
      </c>
      <c r="L82" s="1301">
        <f>ROUND(L81*17.94%,0)</f>
        <v>251519</v>
      </c>
      <c r="M82" s="1304">
        <f>ROUND(M81*23.92%,0)</f>
        <v>1862885</v>
      </c>
      <c r="N82" s="1293"/>
    </row>
    <row r="83" spans="1:14" s="1016" customFormat="1" ht="13.8" thickTop="1" x14ac:dyDescent="0.25">
      <c r="A83" s="1268"/>
      <c r="B83" s="416"/>
      <c r="C83" s="595"/>
      <c r="D83" s="1026"/>
      <c r="E83" s="1026"/>
      <c r="F83" s="682"/>
      <c r="G83" s="1145"/>
      <c r="H83" s="682"/>
    </row>
    <row r="84" spans="1:14" s="690" customFormat="1" ht="25.5" customHeight="1" x14ac:dyDescent="0.2">
      <c r="A84" s="1198"/>
      <c r="B84" s="1204" t="s">
        <v>596</v>
      </c>
      <c r="C84" s="1204" t="s">
        <v>398</v>
      </c>
      <c r="D84" s="1204" t="s">
        <v>580</v>
      </c>
      <c r="E84" s="1204" t="s">
        <v>581</v>
      </c>
      <c r="F84" s="1199" t="s">
        <v>1745</v>
      </c>
      <c r="G84" s="1205" t="s">
        <v>583</v>
      </c>
      <c r="H84" s="1204" t="s">
        <v>584</v>
      </c>
      <c r="I84" s="1250"/>
      <c r="J84" s="1203"/>
    </row>
    <row r="85" spans="1:14" s="690" customFormat="1" ht="15" customHeight="1" x14ac:dyDescent="0.2">
      <c r="A85" s="1200">
        <v>1</v>
      </c>
      <c r="B85" s="1206"/>
      <c r="C85" s="1207"/>
      <c r="D85" s="1206">
        <v>43997</v>
      </c>
      <c r="E85" s="1208">
        <f>ROUND(D82*15%,0)</f>
        <v>184288</v>
      </c>
      <c r="F85" s="1208">
        <f>ROUNDDOWN(+E85,-2)</f>
        <v>184200</v>
      </c>
      <c r="G85" s="1208">
        <f>(F85-C85)</f>
        <v>184200</v>
      </c>
      <c r="H85" s="1209">
        <f>IF(G85&gt;0,G85*0.12/12*3,0)</f>
        <v>5526</v>
      </c>
      <c r="I85" s="1210"/>
      <c r="J85" s="1211"/>
    </row>
    <row r="86" spans="1:14" s="690" customFormat="1" ht="15" customHeight="1" x14ac:dyDescent="0.2">
      <c r="A86" s="1200">
        <v>2</v>
      </c>
      <c r="B86" s="1259">
        <v>44089</v>
      </c>
      <c r="C86" s="1207">
        <v>84000</v>
      </c>
      <c r="D86" s="1206">
        <v>44089</v>
      </c>
      <c r="E86" s="1208">
        <f>ROUND(E82*45%,0)</f>
        <v>552865</v>
      </c>
      <c r="F86" s="1208">
        <f>ROUNDDOWN(+E86,-2)</f>
        <v>552800</v>
      </c>
      <c r="G86" s="1208">
        <f>(F86-C86-C85)</f>
        <v>468800</v>
      </c>
      <c r="H86" s="1209">
        <f>IF(G86&gt;0,G86*0.12/12*3,0)</f>
        <v>14064</v>
      </c>
      <c r="I86" s="1210"/>
      <c r="J86" s="1211"/>
    </row>
    <row r="87" spans="1:14" s="690" customFormat="1" ht="15" customHeight="1" x14ac:dyDescent="0.2">
      <c r="A87" s="1200">
        <v>3</v>
      </c>
      <c r="C87" s="1207"/>
      <c r="D87" s="1206">
        <v>44180</v>
      </c>
      <c r="E87" s="1208">
        <f>ROUND(F82*75%,0)</f>
        <v>1110080</v>
      </c>
      <c r="F87" s="1208">
        <f>ROUNDDOWN(+E87,-2)</f>
        <v>1110000</v>
      </c>
      <c r="G87" s="1208">
        <f>(F87-(C85+C86+C87))</f>
        <v>1026000</v>
      </c>
      <c r="H87" s="1209">
        <f>IF(G87&gt;0,G87*0.12/12*3,0)</f>
        <v>30780</v>
      </c>
      <c r="I87" s="1210"/>
      <c r="J87" s="1211">
        <f>+J86</f>
        <v>0</v>
      </c>
    </row>
    <row r="88" spans="1:14" s="690" customFormat="1" ht="15" customHeight="1" x14ac:dyDescent="0.2">
      <c r="A88" s="1200">
        <v>4</v>
      </c>
      <c r="B88" s="1259">
        <v>44206</v>
      </c>
      <c r="C88" s="1207">
        <v>60000</v>
      </c>
      <c r="D88" s="1206">
        <v>44270</v>
      </c>
      <c r="E88" s="1208">
        <f>ROUND(G82*1,0)</f>
        <v>3342992</v>
      </c>
      <c r="F88" s="1208">
        <f>ROUNDDOWN(+E88,-2)</f>
        <v>3342900</v>
      </c>
      <c r="G88" s="1208">
        <f>(F88-(C85+C86+C87+C88))</f>
        <v>3198900</v>
      </c>
      <c r="H88" s="1209">
        <f>IF(G88&gt;0,G88*0.12/12,0)</f>
        <v>31989</v>
      </c>
      <c r="I88" s="1210"/>
      <c r="J88" s="1211">
        <f>+J86</f>
        <v>0</v>
      </c>
    </row>
    <row r="89" spans="1:14" s="690" customFormat="1" ht="15" customHeight="1" x14ac:dyDescent="0.2">
      <c r="A89" s="1200">
        <v>5</v>
      </c>
      <c r="B89" s="1259"/>
      <c r="C89" s="1207"/>
      <c r="D89" s="1206">
        <v>44286</v>
      </c>
      <c r="F89" s="1212"/>
      <c r="G89" s="1212"/>
      <c r="H89" s="1213"/>
      <c r="I89" s="760"/>
    </row>
    <row r="90" spans="1:14" s="690" customFormat="1" ht="15" customHeight="1" thickBot="1" x14ac:dyDescent="0.25">
      <c r="A90" s="1198"/>
      <c r="B90" s="1113"/>
      <c r="C90" s="1214">
        <f>SUM(C85:C89)</f>
        <v>144000</v>
      </c>
      <c r="D90" s="1113"/>
      <c r="E90" s="1113"/>
      <c r="F90" s="1113"/>
      <c r="G90" s="1113"/>
      <c r="H90" s="1215">
        <f>SUM(H85:H88)</f>
        <v>82359</v>
      </c>
      <c r="I90" s="760"/>
    </row>
    <row r="91" spans="1:14" s="690" customFormat="1" ht="15" customHeight="1" thickTop="1" thickBot="1" x14ac:dyDescent="0.25">
      <c r="A91" s="1201"/>
      <c r="B91" s="1216"/>
      <c r="C91" s="1217"/>
      <c r="D91" s="1216"/>
      <c r="E91" s="1216"/>
      <c r="F91" s="1216"/>
      <c r="G91" s="1216"/>
      <c r="H91" s="1216"/>
      <c r="I91" s="760"/>
    </row>
    <row r="92" spans="1:14" s="690" customFormat="1" ht="15" customHeight="1" x14ac:dyDescent="0.2">
      <c r="A92" s="1198"/>
      <c r="B92" s="1218" t="s">
        <v>1747</v>
      </c>
      <c r="C92" s="1219"/>
      <c r="D92" s="1113"/>
      <c r="E92" s="1113"/>
      <c r="F92" s="1113"/>
      <c r="G92" s="1113"/>
      <c r="H92" s="1220" t="s">
        <v>584</v>
      </c>
      <c r="I92" s="760"/>
    </row>
    <row r="93" spans="1:14" s="690" customFormat="1" ht="15" customHeight="1" x14ac:dyDescent="0.2">
      <c r="A93" s="1198"/>
      <c r="B93" s="1113" t="s">
        <v>1748</v>
      </c>
      <c r="C93" s="1113"/>
      <c r="D93" s="1113"/>
      <c r="E93" s="1208">
        <f>+H59</f>
        <v>3370992.25</v>
      </c>
      <c r="F93" s="1113"/>
      <c r="G93" s="1221">
        <v>44287</v>
      </c>
      <c r="H93" s="1209">
        <v>31989</v>
      </c>
      <c r="I93" s="760"/>
    </row>
    <row r="94" spans="1:14" s="690" customFormat="1" ht="15" customHeight="1" x14ac:dyDescent="0.2">
      <c r="A94" s="1198"/>
      <c r="B94" s="1145" t="s">
        <v>1775</v>
      </c>
      <c r="C94" s="1113"/>
      <c r="D94" s="1113"/>
      <c r="E94" s="1208">
        <f>+G66*-1</f>
        <v>-28000</v>
      </c>
      <c r="F94" s="1113"/>
      <c r="G94" s="1221">
        <v>44317</v>
      </c>
      <c r="H94" s="1209">
        <v>31989</v>
      </c>
      <c r="I94" s="760"/>
    </row>
    <row r="95" spans="1:14" s="690" customFormat="1" ht="15" customHeight="1" thickBot="1" x14ac:dyDescent="0.25">
      <c r="A95" s="1198"/>
      <c r="B95" s="1222"/>
      <c r="C95" s="1113"/>
      <c r="D95" s="1113"/>
      <c r="E95" s="1223">
        <f>E93+E94</f>
        <v>3342992.25</v>
      </c>
      <c r="G95" s="1221">
        <v>44348</v>
      </c>
      <c r="H95" s="1209">
        <v>31989</v>
      </c>
      <c r="I95" s="760"/>
    </row>
    <row r="96" spans="1:14" s="690" customFormat="1" ht="15" customHeight="1" thickTop="1" x14ac:dyDescent="0.2">
      <c r="A96" s="1198"/>
      <c r="F96" s="1113"/>
      <c r="G96" s="1221">
        <v>44378</v>
      </c>
      <c r="H96" s="1209">
        <v>31989</v>
      </c>
      <c r="I96" s="760"/>
    </row>
    <row r="97" spans="1:10" s="690" customFormat="1" ht="15" customHeight="1" x14ac:dyDescent="0.2">
      <c r="A97" s="1198"/>
      <c r="B97" s="1113" t="s">
        <v>1750</v>
      </c>
      <c r="C97" s="1219"/>
      <c r="D97" s="1224">
        <v>0.9</v>
      </c>
      <c r="E97" s="1246">
        <f>ROUND(E95*90%,0)</f>
        <v>3008693</v>
      </c>
      <c r="F97" s="1113"/>
      <c r="G97" s="1221">
        <v>44409</v>
      </c>
      <c r="H97" s="1209">
        <v>31989</v>
      </c>
      <c r="I97" s="1266"/>
      <c r="J97" s="1225" t="s">
        <v>1760</v>
      </c>
    </row>
    <row r="98" spans="1:10" s="690" customFormat="1" ht="15" customHeight="1" x14ac:dyDescent="0.2">
      <c r="A98" s="1198"/>
      <c r="B98" s="1113" t="s">
        <v>1751</v>
      </c>
      <c r="C98" s="1219"/>
      <c r="D98" s="1113"/>
      <c r="E98" s="1247">
        <f>ROUND(+C90,0)</f>
        <v>144000</v>
      </c>
      <c r="F98" s="1113"/>
      <c r="G98" s="1221">
        <v>44440</v>
      </c>
      <c r="H98" s="1209">
        <v>31989</v>
      </c>
      <c r="I98" s="1249">
        <v>44562</v>
      </c>
      <c r="J98" s="1226">
        <f>+H105</f>
        <v>319890</v>
      </c>
    </row>
    <row r="99" spans="1:10" s="690" customFormat="1" ht="15" customHeight="1" x14ac:dyDescent="0.2">
      <c r="A99" s="1198"/>
      <c r="B99" s="690" t="s">
        <v>1752</v>
      </c>
      <c r="C99" s="1219"/>
      <c r="D99" s="1113"/>
      <c r="E99" s="1208">
        <f>E95-E98</f>
        <v>3198992.25</v>
      </c>
      <c r="F99" s="1208">
        <f>ROUNDDOWN(E99,-2)</f>
        <v>3198900</v>
      </c>
      <c r="G99" s="1221">
        <v>44470</v>
      </c>
      <c r="H99" s="1209">
        <v>31989</v>
      </c>
      <c r="I99" s="1249">
        <v>44593</v>
      </c>
      <c r="J99" s="1226">
        <f>J98+31989</f>
        <v>351879</v>
      </c>
    </row>
    <row r="100" spans="1:10" s="690" customFormat="1" ht="15" customHeight="1" x14ac:dyDescent="0.2">
      <c r="A100" s="1198"/>
      <c r="B100" s="1198"/>
      <c r="C100" s="1113"/>
      <c r="D100" s="1113"/>
      <c r="E100" s="1227"/>
      <c r="F100" s="1113"/>
      <c r="G100" s="1221">
        <v>44501</v>
      </c>
      <c r="H100" s="1209">
        <v>31989</v>
      </c>
      <c r="I100" s="1249">
        <v>44621</v>
      </c>
      <c r="J100" s="1226">
        <f>J99+31989</f>
        <v>383868</v>
      </c>
    </row>
    <row r="101" spans="1:10" s="690" customFormat="1" ht="15" customHeight="1" x14ac:dyDescent="0.2">
      <c r="A101" s="1198"/>
      <c r="B101" s="1260"/>
      <c r="C101" s="1240"/>
      <c r="E101" s="1227"/>
      <c r="F101" s="1113"/>
      <c r="G101" s="1221">
        <v>44531</v>
      </c>
      <c r="H101" s="1209">
        <v>31989</v>
      </c>
      <c r="I101" s="1249"/>
      <c r="J101" s="1226"/>
    </row>
    <row r="102" spans="1:10" s="690" customFormat="1" ht="15" customHeight="1" x14ac:dyDescent="0.2">
      <c r="A102" s="1198"/>
      <c r="C102" s="1113"/>
      <c r="E102" s="1227">
        <f>E100-E101</f>
        <v>0</v>
      </c>
      <c r="F102" s="1113"/>
      <c r="G102" s="1221">
        <v>44562</v>
      </c>
      <c r="H102" s="1209">
        <v>31989</v>
      </c>
      <c r="I102" s="760"/>
    </row>
    <row r="103" spans="1:10" s="690" customFormat="1" ht="15" customHeight="1" x14ac:dyDescent="0.2">
      <c r="A103" s="1198"/>
      <c r="C103" s="1113"/>
      <c r="E103" s="1229"/>
      <c r="F103" s="1208">
        <f>ROUNDDOWN(E103,-2)</f>
        <v>0</v>
      </c>
      <c r="G103" s="1221">
        <v>44593</v>
      </c>
      <c r="H103" s="1209"/>
      <c r="I103" s="760"/>
    </row>
    <row r="104" spans="1:10" s="690" customFormat="1" ht="15" customHeight="1" x14ac:dyDescent="0.2">
      <c r="A104" s="1198"/>
      <c r="C104" s="1113"/>
      <c r="E104" s="1227"/>
      <c r="F104" s="1113"/>
      <c r="G104" s="1221">
        <v>44621</v>
      </c>
      <c r="H104" s="1209"/>
      <c r="I104" s="760"/>
    </row>
    <row r="105" spans="1:10" s="690" customFormat="1" ht="15" customHeight="1" thickBot="1" x14ac:dyDescent="0.25">
      <c r="A105" s="1198"/>
      <c r="C105" s="1113"/>
      <c r="E105" s="1227"/>
      <c r="F105" s="1113"/>
      <c r="G105" s="1221"/>
      <c r="H105" s="1242">
        <f>SUM(H93:H104)</f>
        <v>319890</v>
      </c>
      <c r="I105" s="760"/>
    </row>
    <row r="106" spans="1:10" s="690" customFormat="1" ht="15" customHeight="1" thickTop="1" thickBot="1" x14ac:dyDescent="0.25">
      <c r="A106" s="1201"/>
      <c r="B106" s="1230"/>
      <c r="C106" s="1216"/>
      <c r="D106" s="1230"/>
      <c r="E106" s="1231"/>
      <c r="F106" s="1232"/>
      <c r="G106" s="1216"/>
      <c r="H106" s="1233"/>
      <c r="I106" s="1228"/>
    </row>
    <row r="107" spans="1:10" s="690" customFormat="1" ht="15" customHeight="1" x14ac:dyDescent="0.2">
      <c r="A107" s="1198"/>
      <c r="B107" s="1218" t="s">
        <v>1757</v>
      </c>
      <c r="C107" s="1234"/>
      <c r="D107" s="1234"/>
      <c r="E107" s="1234"/>
      <c r="F107" s="1234"/>
      <c r="G107" s="1234"/>
      <c r="H107" s="1234"/>
      <c r="I107" s="1228"/>
    </row>
    <row r="108" spans="1:10" s="690" customFormat="1" ht="15" customHeight="1" x14ac:dyDescent="0.2">
      <c r="A108" s="1198"/>
      <c r="B108" s="1113" t="s">
        <v>1748</v>
      </c>
      <c r="C108" s="1113"/>
      <c r="D108" s="1113"/>
      <c r="E108" s="1208">
        <f>+H59</f>
        <v>3370992.25</v>
      </c>
      <c r="F108" s="1234"/>
      <c r="G108" s="1113"/>
      <c r="H108" s="1220" t="s">
        <v>584</v>
      </c>
      <c r="I108" s="1228"/>
    </row>
    <row r="109" spans="1:10" s="690" customFormat="1" ht="15" customHeight="1" x14ac:dyDescent="0.2">
      <c r="A109" s="1198"/>
      <c r="B109" s="1222" t="s">
        <v>1749</v>
      </c>
      <c r="C109" s="1113"/>
      <c r="D109" s="1113"/>
      <c r="E109" s="1208">
        <f>+G66*-1</f>
        <v>-28000</v>
      </c>
      <c r="F109" s="1234"/>
      <c r="G109" s="1221">
        <v>44409</v>
      </c>
      <c r="H109" s="1209">
        <v>31989</v>
      </c>
      <c r="I109" s="1267"/>
      <c r="J109" s="1235" t="s">
        <v>1761</v>
      </c>
    </row>
    <row r="110" spans="1:10" s="690" customFormat="1" ht="15" customHeight="1" x14ac:dyDescent="0.2">
      <c r="A110" s="1198"/>
      <c r="B110" s="1257" t="s">
        <v>1758</v>
      </c>
      <c r="C110" s="1113"/>
      <c r="D110" s="1113"/>
      <c r="E110" s="1208">
        <v>-144000</v>
      </c>
      <c r="F110" s="1234"/>
      <c r="G110" s="1221">
        <v>44440</v>
      </c>
      <c r="H110" s="1209">
        <v>31989</v>
      </c>
      <c r="I110" s="1243">
        <v>44562</v>
      </c>
      <c r="J110" s="1236">
        <f>+H117</f>
        <v>191934</v>
      </c>
    </row>
    <row r="111" spans="1:10" s="690" customFormat="1" ht="15" customHeight="1" x14ac:dyDescent="0.2">
      <c r="A111" s="1198"/>
      <c r="B111" s="1222"/>
      <c r="C111" s="1113"/>
      <c r="D111" s="1113"/>
      <c r="E111" s="1213"/>
      <c r="F111" s="1234"/>
      <c r="G111" s="1221">
        <v>44470</v>
      </c>
      <c r="H111" s="1209">
        <v>31989</v>
      </c>
      <c r="I111" s="1243">
        <v>44593</v>
      </c>
      <c r="J111" s="1236">
        <f>J110+31989</f>
        <v>223923</v>
      </c>
    </row>
    <row r="112" spans="1:10" s="690" customFormat="1" ht="15" customHeight="1" x14ac:dyDescent="0.2">
      <c r="A112" s="1198"/>
      <c r="B112" s="1222"/>
      <c r="C112" s="1113"/>
      <c r="D112" s="1113"/>
      <c r="E112" s="1213"/>
      <c r="F112" s="1234"/>
      <c r="G112" s="1221">
        <v>44501</v>
      </c>
      <c r="H112" s="1209">
        <v>31989</v>
      </c>
      <c r="I112" s="1243">
        <v>44621</v>
      </c>
      <c r="J112" s="1236">
        <f>J111+31989</f>
        <v>255912</v>
      </c>
    </row>
    <row r="113" spans="1:10" s="690" customFormat="1" ht="15" customHeight="1" x14ac:dyDescent="0.2">
      <c r="A113" s="1198"/>
      <c r="B113" s="1257"/>
      <c r="C113" s="1113"/>
      <c r="D113" s="1113"/>
      <c r="E113" s="1213">
        <f>+G71*-1</f>
        <v>0</v>
      </c>
      <c r="F113" s="1234"/>
      <c r="G113" s="1221">
        <v>44531</v>
      </c>
      <c r="H113" s="1209">
        <v>31989</v>
      </c>
      <c r="I113" s="1243"/>
      <c r="J113" s="1236"/>
    </row>
    <row r="114" spans="1:10" s="690" customFormat="1" ht="15" customHeight="1" x14ac:dyDescent="0.2">
      <c r="A114" s="1198"/>
      <c r="B114" s="1257"/>
      <c r="C114" s="1113"/>
      <c r="D114" s="1113"/>
      <c r="E114" s="1213"/>
      <c r="F114" s="1234"/>
      <c r="G114" s="1221">
        <v>44562</v>
      </c>
      <c r="H114" s="1209">
        <v>31989</v>
      </c>
      <c r="I114" s="1243"/>
      <c r="J114" s="1236"/>
    </row>
    <row r="115" spans="1:10" s="690" customFormat="1" ht="15" customHeight="1" x14ac:dyDescent="0.2">
      <c r="A115" s="1198"/>
      <c r="B115" s="1257"/>
      <c r="C115" s="1113"/>
      <c r="D115" s="1113"/>
      <c r="E115" s="1213"/>
      <c r="F115" s="1234"/>
      <c r="G115" s="1221">
        <v>44593</v>
      </c>
      <c r="H115" s="1209"/>
      <c r="I115" s="1243"/>
      <c r="J115" s="1236"/>
    </row>
    <row r="116" spans="1:10" s="690" customFormat="1" ht="15" customHeight="1" thickBot="1" x14ac:dyDescent="0.25">
      <c r="A116" s="1198"/>
      <c r="E116" s="1223">
        <f>SUM(E108:E115)</f>
        <v>3198992.25</v>
      </c>
      <c r="F116" s="1208">
        <f>ROUNDDOWN(E116,-2)</f>
        <v>3198900</v>
      </c>
      <c r="G116" s="1221">
        <v>44621</v>
      </c>
      <c r="H116" s="1209"/>
      <c r="I116" s="1219"/>
    </row>
    <row r="117" spans="1:10" s="1016" customFormat="1" ht="14.4" thickTop="1" thickBot="1" x14ac:dyDescent="0.3">
      <c r="A117" s="1015"/>
      <c r="H117" s="1242">
        <f>SUM(H109:H116)</f>
        <v>191934</v>
      </c>
    </row>
    <row r="118" spans="1:10" s="1016" customFormat="1" ht="13.8" thickTop="1" x14ac:dyDescent="0.25">
      <c r="A118" s="1015"/>
      <c r="F118" s="1248" t="s">
        <v>1767</v>
      </c>
    </row>
    <row r="119" spans="1:10" s="1016" customFormat="1" ht="13.8" thickBot="1" x14ac:dyDescent="0.3">
      <c r="A119" s="1254"/>
      <c r="B119" s="1255"/>
      <c r="C119" s="1255"/>
      <c r="D119" s="1255"/>
      <c r="E119" s="1255"/>
      <c r="F119" s="1255"/>
      <c r="G119" s="1255"/>
      <c r="H119" s="1255"/>
    </row>
    <row r="120" spans="1:10" ht="13.8" thickTop="1" x14ac:dyDescent="0.25"/>
  </sheetData>
  <mergeCells count="9">
    <mergeCell ref="C65:D65"/>
    <mergeCell ref="C67:D67"/>
    <mergeCell ref="C66:F66"/>
    <mergeCell ref="C64:D64"/>
    <mergeCell ref="A1:H1"/>
    <mergeCell ref="A2:H2"/>
    <mergeCell ref="A3:H3"/>
    <mergeCell ref="A4:H4"/>
    <mergeCell ref="A5:H5"/>
  </mergeCells>
  <phoneticPr fontId="16" type="noConversion"/>
  <dataValidations count="1">
    <dataValidation type="list" errorStyle="information" allowBlank="1" showInputMessage="1" showErrorMessage="1" sqref="D7" xr:uid="{00000000-0002-0000-1500-000000000000}">
      <formula1>"SALARY RECEIVED, PENSION RECEIVED"</formula1>
    </dataValidation>
  </dataValidations>
  <hyperlinks>
    <hyperlink ref="A3:H3" r:id="rId1" display="To join the course, click here." xr:uid="{D024D797-8DD3-49CB-95B8-4E3156407779}"/>
  </hyperlinks>
  <printOptions horizontalCentered="1" verticalCentered="1"/>
  <pageMargins left="0.39370078740157499" right="0.196850393700787" top="0.196850393700787" bottom="0.196850393700787" header="0" footer="0"/>
  <pageSetup paperSize="9" scale="81"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40"/>
  <sheetViews>
    <sheetView showZeros="0" topLeftCell="A19" zoomScale="130" zoomScaleNormal="130" zoomScaleSheetLayoutView="110" workbookViewId="0">
      <selection activeCell="L36" sqref="L3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4.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73" t="s">
        <v>1565</v>
      </c>
      <c r="B1" s="1374"/>
      <c r="C1" s="1374"/>
      <c r="D1" s="1374"/>
      <c r="E1" s="1374"/>
      <c r="F1" s="1374"/>
      <c r="G1" s="1374"/>
      <c r="H1" s="1374"/>
      <c r="I1" s="1375"/>
    </row>
    <row r="2" spans="1:13" ht="18" customHeight="1" thickBot="1" x14ac:dyDescent="0.3">
      <c r="A2" s="1336" t="s">
        <v>562</v>
      </c>
      <c r="B2" s="1337"/>
      <c r="C2" s="1337"/>
      <c r="D2" s="1337"/>
      <c r="E2" s="1337"/>
      <c r="F2" s="1337"/>
      <c r="G2" s="1337"/>
      <c r="H2" s="1337"/>
      <c r="I2" s="1338"/>
      <c r="K2" s="845" t="s">
        <v>1133</v>
      </c>
    </row>
    <row r="3" spans="1:13" ht="20.100000000000001" customHeight="1" x14ac:dyDescent="0.25">
      <c r="A3" s="417"/>
      <c r="B3" s="850" t="s">
        <v>1463</v>
      </c>
      <c r="C3" s="419"/>
      <c r="D3" s="419"/>
      <c r="E3" s="419"/>
      <c r="F3" s="419"/>
      <c r="G3" s="419"/>
      <c r="H3" s="501" t="s">
        <v>1013</v>
      </c>
      <c r="I3" s="470"/>
      <c r="K3" s="416" t="s">
        <v>1546</v>
      </c>
      <c r="L3" s="416">
        <v>489600</v>
      </c>
    </row>
    <row r="4" spans="1:13" ht="15" customHeight="1" x14ac:dyDescent="0.25">
      <c r="A4" s="420"/>
      <c r="B4" s="435"/>
      <c r="C4" s="422" t="s">
        <v>567</v>
      </c>
      <c r="D4" s="422"/>
      <c r="E4" s="431"/>
      <c r="F4" s="423"/>
      <c r="G4" s="411">
        <f>+L7</f>
        <v>692800</v>
      </c>
      <c r="H4" s="482"/>
      <c r="I4" s="471"/>
      <c r="K4" s="416" t="s">
        <v>1563</v>
      </c>
      <c r="L4" s="416">
        <v>42512</v>
      </c>
    </row>
    <row r="5" spans="1:13" ht="15" customHeight="1" x14ac:dyDescent="0.25">
      <c r="A5" s="420"/>
      <c r="B5" s="408"/>
      <c r="C5" s="672" t="s">
        <v>1566</v>
      </c>
      <c r="D5" s="415"/>
      <c r="E5" s="415"/>
      <c r="F5" s="415"/>
      <c r="G5" s="906">
        <f>+L8</f>
        <v>19200</v>
      </c>
      <c r="H5" s="482">
        <f>G4-G5</f>
        <v>673600</v>
      </c>
      <c r="I5" s="472"/>
      <c r="K5" s="416" t="s">
        <v>1547</v>
      </c>
      <c r="L5" s="416">
        <v>117504</v>
      </c>
    </row>
    <row r="6" spans="1:13" ht="15" customHeight="1" x14ac:dyDescent="0.25">
      <c r="A6" s="420"/>
      <c r="B6" s="851" t="s">
        <v>1464</v>
      </c>
      <c r="C6" s="415"/>
      <c r="D6" s="415"/>
      <c r="E6" s="905" t="s">
        <v>1556</v>
      </c>
      <c r="F6" s="423"/>
      <c r="G6" s="415"/>
      <c r="H6" s="482"/>
      <c r="I6" s="472"/>
      <c r="K6" s="416" t="s">
        <v>1548</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1462</v>
      </c>
      <c r="D8" s="415"/>
      <c r="E8" s="854" t="s">
        <v>1557</v>
      </c>
      <c r="F8" s="875"/>
      <c r="G8" s="523">
        <v>205000</v>
      </c>
      <c r="H8" s="482">
        <f>0-G8+5000</f>
        <v>-200000</v>
      </c>
      <c r="I8" s="472"/>
      <c r="K8" s="416" t="s">
        <v>1567</v>
      </c>
      <c r="L8" s="681">
        <v>19200</v>
      </c>
      <c r="M8" s="416">
        <f>L7-L8</f>
        <v>673600</v>
      </c>
    </row>
    <row r="9" spans="1:13" ht="20.100000000000001" customHeight="1" x14ac:dyDescent="0.25">
      <c r="A9" s="420"/>
      <c r="B9" s="435" t="s">
        <v>1467</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1551</v>
      </c>
      <c r="D11" s="415"/>
      <c r="E11" s="415"/>
      <c r="F11" s="415"/>
      <c r="G11" s="411">
        <v>3000</v>
      </c>
      <c r="H11" s="482"/>
      <c r="I11" s="471"/>
    </row>
    <row r="12" spans="1:13" ht="15.75" customHeight="1" x14ac:dyDescent="0.3">
      <c r="A12" s="420"/>
      <c r="B12" s="853"/>
      <c r="C12" s="422" t="s">
        <v>1550</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480600</v>
      </c>
      <c r="I17" s="472"/>
    </row>
    <row r="18" spans="1:13" ht="15" customHeight="1" x14ac:dyDescent="0.25">
      <c r="A18" s="420" t="s">
        <v>1275</v>
      </c>
      <c r="B18" s="590" t="s">
        <v>1468</v>
      </c>
      <c r="C18" s="415"/>
      <c r="D18" s="415"/>
      <c r="E18" s="415"/>
      <c r="F18" s="415"/>
      <c r="G18" s="415"/>
      <c r="H18" s="482"/>
      <c r="I18" s="471"/>
    </row>
    <row r="19" spans="1:13" ht="15" customHeight="1" x14ac:dyDescent="0.25">
      <c r="A19" s="420"/>
      <c r="B19" s="680"/>
      <c r="C19" s="435" t="s">
        <v>1483</v>
      </c>
      <c r="D19" s="415"/>
      <c r="E19" s="415"/>
      <c r="F19" s="415"/>
      <c r="G19" s="423"/>
      <c r="H19" s="482"/>
      <c r="I19" s="471"/>
    </row>
    <row r="20" spans="1:13" ht="15" customHeight="1" x14ac:dyDescent="0.25">
      <c r="A20" s="420"/>
      <c r="B20" s="680"/>
      <c r="C20" s="408" t="s">
        <v>1552</v>
      </c>
      <c r="D20" s="415"/>
      <c r="E20" s="415"/>
      <c r="F20" s="411">
        <v>56400</v>
      </c>
      <c r="G20" s="423"/>
      <c r="H20" s="482"/>
      <c r="I20" s="471"/>
    </row>
    <row r="21" spans="1:13" ht="15" customHeight="1" x14ac:dyDescent="0.25">
      <c r="A21" s="420"/>
      <c r="B21" s="680"/>
      <c r="C21" s="408" t="s">
        <v>1553</v>
      </c>
      <c r="D21" s="415"/>
      <c r="E21" s="415"/>
      <c r="F21" s="411">
        <v>6000</v>
      </c>
      <c r="G21" s="423"/>
      <c r="H21" s="482"/>
      <c r="I21" s="471"/>
    </row>
    <row r="22" spans="1:13" ht="15" customHeight="1" x14ac:dyDescent="0.25">
      <c r="A22" s="420"/>
      <c r="B22" s="680"/>
      <c r="C22" s="408" t="s">
        <v>1554</v>
      </c>
      <c r="D22" s="415"/>
      <c r="E22" s="415"/>
      <c r="F22" s="411">
        <v>10500</v>
      </c>
      <c r="G22" s="423"/>
      <c r="H22" s="482"/>
      <c r="I22" s="471"/>
    </row>
    <row r="23" spans="1:13" ht="15" customHeight="1" x14ac:dyDescent="0.25">
      <c r="A23" s="420"/>
      <c r="B23" s="680"/>
      <c r="C23" s="408" t="s">
        <v>1555</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913">
        <f>IF((H17-H27)&lt;0,0,(H17-H27))</f>
        <v>330600</v>
      </c>
      <c r="F28" s="453" t="s">
        <v>1561</v>
      </c>
      <c r="G28" s="440"/>
      <c r="H28" s="486">
        <f>ROUND((E28/10),0)*10</f>
        <v>330600</v>
      </c>
      <c r="I28" s="475"/>
      <c r="L28" s="685"/>
      <c r="M28" s="685"/>
    </row>
    <row r="29" spans="1:13" ht="21.75" customHeight="1" thickTop="1" x14ac:dyDescent="0.25">
      <c r="A29" s="420"/>
      <c r="B29" s="449" t="s">
        <v>778</v>
      </c>
      <c r="C29" s="415"/>
      <c r="D29" s="415"/>
      <c r="E29" s="914" t="s">
        <v>521</v>
      </c>
      <c r="F29" s="454"/>
      <c r="G29" s="914" t="s">
        <v>524</v>
      </c>
      <c r="H29" s="896">
        <f>+G30</f>
        <v>4030</v>
      </c>
      <c r="I29" s="471"/>
      <c r="K29" s="861" t="s">
        <v>1569</v>
      </c>
      <c r="L29" s="416">
        <v>4030</v>
      </c>
    </row>
    <row r="30" spans="1:13" ht="15" hidden="1" customHeight="1" x14ac:dyDescent="0.25">
      <c r="A30" s="420"/>
      <c r="B30" s="895">
        <v>21568</v>
      </c>
      <c r="C30" s="467"/>
      <c r="D30" s="408" t="s">
        <v>1534</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84"/>
    </row>
    <row r="31" spans="1:13" ht="15" hidden="1" customHeight="1" x14ac:dyDescent="0.25">
      <c r="A31" s="420"/>
      <c r="B31" s="877"/>
      <c r="C31" s="467"/>
      <c r="D31" s="408" t="s">
        <v>1522</v>
      </c>
      <c r="E31" s="455"/>
      <c r="F31" s="678"/>
      <c r="G31" s="415">
        <f>ROUND(E31*F31,0)</f>
        <v>0</v>
      </c>
      <c r="H31" s="487"/>
      <c r="I31" s="471"/>
      <c r="K31" s="861"/>
    </row>
    <row r="32" spans="1:13" ht="18.75" customHeight="1" x14ac:dyDescent="0.25">
      <c r="A32" s="420"/>
      <c r="B32" s="912" t="s">
        <v>1564</v>
      </c>
      <c r="D32" s="408"/>
      <c r="E32" s="749"/>
      <c r="F32" s="678"/>
      <c r="H32" s="528">
        <f>IF(H28&gt;350000,0,IF(G30&gt;2500,2500,G30))</f>
        <v>2500</v>
      </c>
      <c r="I32" s="473"/>
      <c r="K32" s="861" t="s">
        <v>1570</v>
      </c>
      <c r="L32" s="425">
        <f>4030*0.04</f>
        <v>161.20000000000002</v>
      </c>
    </row>
    <row r="33" spans="1:13" ht="15" hidden="1" customHeight="1" x14ac:dyDescent="0.25">
      <c r="A33" s="420"/>
      <c r="B33" s="601" t="s">
        <v>1523</v>
      </c>
      <c r="C33" s="524"/>
      <c r="D33" s="678"/>
      <c r="E33" s="749"/>
      <c r="G33" s="538"/>
      <c r="H33" s="696"/>
      <c r="I33" s="473"/>
      <c r="K33" s="861"/>
    </row>
    <row r="34" spans="1:13" ht="15" customHeight="1" x14ac:dyDescent="0.25">
      <c r="A34" s="420"/>
      <c r="B34" s="449" t="s">
        <v>1243</v>
      </c>
      <c r="C34" s="524"/>
      <c r="D34" s="415"/>
      <c r="E34" s="749"/>
      <c r="F34" s="750"/>
      <c r="G34" s="526"/>
      <c r="H34" s="489">
        <f>H29-H32</f>
        <v>1530</v>
      </c>
      <c r="I34" s="472"/>
      <c r="K34" s="861" t="s">
        <v>1571</v>
      </c>
      <c r="L34" s="685">
        <f>L29+L32</f>
        <v>4191.2</v>
      </c>
    </row>
    <row r="35" spans="1:13" ht="15" customHeight="1" x14ac:dyDescent="0.25">
      <c r="A35" s="420"/>
      <c r="B35" s="408" t="s">
        <v>774</v>
      </c>
      <c r="C35" s="415"/>
      <c r="D35" s="456"/>
      <c r="E35" s="428"/>
      <c r="F35" s="415"/>
      <c r="G35" s="428"/>
      <c r="H35" s="489">
        <f>ROUND((H34)*0.02,0)</f>
        <v>31</v>
      </c>
      <c r="I35" s="472"/>
      <c r="K35" s="861" t="s">
        <v>1572</v>
      </c>
      <c r="L35" s="416">
        <v>2500</v>
      </c>
    </row>
    <row r="36" spans="1:13" ht="15" customHeight="1" thickBot="1" x14ac:dyDescent="0.3">
      <c r="A36" s="908"/>
      <c r="B36" s="408" t="s">
        <v>775</v>
      </c>
      <c r="C36" s="681"/>
      <c r="D36" s="909"/>
      <c r="E36" s="910"/>
      <c r="F36" s="681"/>
      <c r="G36" s="911"/>
      <c r="H36" s="528">
        <f>ROUND((H34)*0.01,0)</f>
        <v>15</v>
      </c>
      <c r="I36" s="474"/>
      <c r="K36" s="861"/>
      <c r="L36" s="916">
        <f>L34-L35</f>
        <v>1691.1999999999998</v>
      </c>
    </row>
    <row r="37" spans="1:13" ht="18" customHeight="1" thickTop="1" thickBot="1" x14ac:dyDescent="0.3">
      <c r="A37" s="897"/>
      <c r="B37" s="898" t="s">
        <v>565</v>
      </c>
      <c r="C37" s="899"/>
      <c r="D37" s="900"/>
      <c r="E37" s="901"/>
      <c r="F37" s="907" t="s">
        <v>1562</v>
      </c>
      <c r="G37" s="902"/>
      <c r="H37" s="903">
        <f>SUM(H34:H36)+5</f>
        <v>1581</v>
      </c>
      <c r="I37" s="904"/>
      <c r="K37" s="711" t="s">
        <v>1568</v>
      </c>
      <c r="M37" s="685"/>
    </row>
    <row r="38" spans="1:13" ht="18" hidden="1" customHeight="1" thickTop="1" x14ac:dyDescent="0.25">
      <c r="A38" s="804"/>
      <c r="B38" s="888"/>
      <c r="C38" s="805"/>
      <c r="D38" s="748"/>
      <c r="E38" s="428"/>
      <c r="G38" s="887"/>
      <c r="H38" s="807"/>
      <c r="I38" s="806"/>
    </row>
    <row r="39" spans="1:13" ht="17.25" customHeight="1" thickTop="1" x14ac:dyDescent="0.25">
      <c r="A39" s="1376">
        <f ca="1">TODAY()</f>
        <v>44617</v>
      </c>
      <c r="B39" s="1376"/>
      <c r="E39" s="554"/>
      <c r="F39" s="554"/>
      <c r="G39" s="554"/>
      <c r="H39" s="860" t="s">
        <v>1485</v>
      </c>
      <c r="J39" s="554"/>
    </row>
    <row r="40" spans="1:13" x14ac:dyDescent="0.25">
      <c r="A40" s="567"/>
      <c r="B40" s="894"/>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7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B10" sqref="B10"/>
    </sheetView>
  </sheetViews>
  <sheetFormatPr defaultColWidth="9.109375" defaultRowHeight="24.9" customHeight="1" x14ac:dyDescent="0.25"/>
  <cols>
    <col min="1" max="1" width="20.109375" style="595" customWidth="1"/>
    <col min="2" max="2" width="31.44140625" style="595" customWidth="1"/>
    <col min="3" max="3" width="56" style="639" customWidth="1"/>
    <col min="4" max="4" width="16.33203125" style="639" customWidth="1"/>
    <col min="5" max="5" width="9.88671875" style="595" customWidth="1"/>
    <col min="6" max="16384" width="9.109375" style="595"/>
  </cols>
  <sheetData>
    <row r="1" spans="1:5" ht="24.9" customHeight="1" x14ac:dyDescent="0.25">
      <c r="A1" s="593" t="s">
        <v>1095</v>
      </c>
      <c r="B1" s="594" t="s">
        <v>1096</v>
      </c>
      <c r="C1" s="641" t="s">
        <v>1138</v>
      </c>
      <c r="D1" s="642">
        <v>960000</v>
      </c>
    </row>
    <row r="2" spans="1:5" ht="24.9" customHeight="1" x14ac:dyDescent="0.25">
      <c r="A2" s="593" t="s">
        <v>1097</v>
      </c>
      <c r="B2" s="594" t="s">
        <v>1098</v>
      </c>
      <c r="C2" s="643" t="s">
        <v>1136</v>
      </c>
      <c r="D2" s="644">
        <v>89780</v>
      </c>
    </row>
    <row r="3" spans="1:5" ht="24.9" customHeight="1" x14ac:dyDescent="0.25">
      <c r="A3" s="593" t="s">
        <v>1099</v>
      </c>
      <c r="B3" s="594" t="s">
        <v>1100</v>
      </c>
      <c r="C3" s="645" t="s">
        <v>1137</v>
      </c>
      <c r="D3" s="644">
        <v>40000</v>
      </c>
    </row>
    <row r="4" spans="1:5" ht="24.9" customHeight="1" x14ac:dyDescent="0.25">
      <c r="A4" s="593" t="s">
        <v>1101</v>
      </c>
      <c r="B4" s="596">
        <v>31022</v>
      </c>
      <c r="C4" s="645" t="s">
        <v>1102</v>
      </c>
      <c r="D4" s="644">
        <v>120000</v>
      </c>
    </row>
    <row r="5" spans="1:5" ht="24.9" customHeight="1" x14ac:dyDescent="0.25">
      <c r="A5" s="593" t="s">
        <v>1103</v>
      </c>
      <c r="B5" s="594" t="s">
        <v>1104</v>
      </c>
      <c r="C5" s="646"/>
      <c r="D5" s="647"/>
    </row>
    <row r="6" spans="1:5" ht="24.9" customHeight="1" x14ac:dyDescent="0.25">
      <c r="A6" s="593"/>
      <c r="B6" s="594" t="s">
        <v>1105</v>
      </c>
      <c r="C6" s="645" t="s">
        <v>1139</v>
      </c>
      <c r="D6" s="644">
        <v>240000</v>
      </c>
    </row>
    <row r="7" spans="1:5" ht="24.9" customHeight="1" x14ac:dyDescent="0.25">
      <c r="A7" s="593" t="s">
        <v>1106</v>
      </c>
      <c r="B7" s="594">
        <v>9811116835</v>
      </c>
      <c r="C7" s="648" t="s">
        <v>1107</v>
      </c>
      <c r="D7" s="644">
        <v>20000</v>
      </c>
    </row>
    <row r="8" spans="1:5" ht="24.9" customHeight="1" x14ac:dyDescent="0.25">
      <c r="A8" s="593" t="s">
        <v>1108</v>
      </c>
      <c r="B8" s="594" t="s">
        <v>1109</v>
      </c>
      <c r="C8" s="648" t="s">
        <v>1140</v>
      </c>
      <c r="D8" s="644">
        <v>210000</v>
      </c>
    </row>
    <row r="9" spans="1:5" ht="24.9" customHeight="1" x14ac:dyDescent="0.25">
      <c r="A9" s="593" t="s">
        <v>1110</v>
      </c>
      <c r="B9" s="594" t="s">
        <v>1111</v>
      </c>
      <c r="C9" s="648" t="s">
        <v>1141</v>
      </c>
      <c r="D9" s="649">
        <v>0.1</v>
      </c>
    </row>
    <row r="10" spans="1:5" ht="24.9" customHeight="1" x14ac:dyDescent="0.25">
      <c r="C10" s="646"/>
      <c r="D10" s="647"/>
    </row>
    <row r="11" spans="1:5" ht="24.9" customHeight="1" x14ac:dyDescent="0.25">
      <c r="C11" s="645" t="s">
        <v>1142</v>
      </c>
      <c r="D11" s="644">
        <v>15000</v>
      </c>
    </row>
    <row r="12" spans="1:5" ht="24.9" customHeight="1" x14ac:dyDescent="0.25">
      <c r="A12" s="598"/>
      <c r="C12" s="645" t="s">
        <v>1143</v>
      </c>
      <c r="D12" s="644">
        <v>42000</v>
      </c>
    </row>
    <row r="13" spans="1:5" ht="24.9" customHeight="1" x14ac:dyDescent="0.25">
      <c r="A13" s="598"/>
      <c r="C13" s="645" t="s">
        <v>1144</v>
      </c>
      <c r="D13" s="644">
        <v>20000</v>
      </c>
      <c r="E13" s="597"/>
    </row>
    <row r="14" spans="1:5" ht="24.9" customHeight="1" thickBot="1" x14ac:dyDescent="0.3">
      <c r="A14" s="599"/>
      <c r="C14" s="650"/>
      <c r="D14" s="651" t="s">
        <v>1145</v>
      </c>
    </row>
    <row r="15" spans="1:5" ht="24.9" customHeight="1" x14ac:dyDescent="0.25">
      <c r="A15" s="599"/>
      <c r="D15" s="640"/>
    </row>
    <row r="16" spans="1:5" ht="24.9" customHeight="1" thickBot="1" x14ac:dyDescent="0.3">
      <c r="A16" s="599"/>
    </row>
    <row r="17" spans="1:4" ht="24.9" customHeight="1" x14ac:dyDescent="0.25">
      <c r="A17" s="599"/>
      <c r="C17" s="641" t="s">
        <v>1138</v>
      </c>
      <c r="D17" s="642">
        <v>960000</v>
      </c>
    </row>
    <row r="18" spans="1:4" ht="24.9" customHeight="1" x14ac:dyDescent="0.25">
      <c r="A18" s="599"/>
      <c r="C18" s="643" t="s">
        <v>1136</v>
      </c>
      <c r="D18" s="644">
        <v>89780</v>
      </c>
    </row>
    <row r="19" spans="1:4" ht="24.9" customHeight="1" x14ac:dyDescent="0.25">
      <c r="B19" s="598"/>
      <c r="C19" s="645" t="s">
        <v>1137</v>
      </c>
      <c r="D19" s="644">
        <v>40000</v>
      </c>
    </row>
    <row r="20" spans="1:4" ht="24.9" customHeight="1" x14ac:dyDescent="0.25">
      <c r="C20" s="645" t="s">
        <v>1102</v>
      </c>
      <c r="D20" s="644">
        <v>120000</v>
      </c>
    </row>
    <row r="21" spans="1:4" ht="24.9" customHeight="1" x14ac:dyDescent="0.25">
      <c r="C21" s="646"/>
      <c r="D21" s="647"/>
    </row>
    <row r="22" spans="1:4" ht="24.9" customHeight="1" x14ac:dyDescent="0.25">
      <c r="C22" s="645" t="s">
        <v>1139</v>
      </c>
      <c r="D22" s="644">
        <v>240000</v>
      </c>
    </row>
    <row r="23" spans="1:4" ht="24.9" customHeight="1" x14ac:dyDescent="0.25">
      <c r="C23" s="648" t="s">
        <v>1107</v>
      </c>
      <c r="D23" s="644">
        <v>20000</v>
      </c>
    </row>
    <row r="24" spans="1:4" ht="24.9" customHeight="1" x14ac:dyDescent="0.25">
      <c r="C24" s="648" t="s">
        <v>1140</v>
      </c>
      <c r="D24" s="644">
        <v>210000</v>
      </c>
    </row>
    <row r="25" spans="1:4" ht="24.9" customHeight="1" x14ac:dyDescent="0.25">
      <c r="C25" s="648" t="s">
        <v>1141</v>
      </c>
      <c r="D25" s="649">
        <v>0.1</v>
      </c>
    </row>
    <row r="26" spans="1:4" ht="24.9" customHeight="1" x14ac:dyDescent="0.25">
      <c r="C26" s="646"/>
      <c r="D26" s="647"/>
    </row>
    <row r="27" spans="1:4" ht="24.9" customHeight="1" x14ac:dyDescent="0.25">
      <c r="C27" s="645" t="s">
        <v>1142</v>
      </c>
      <c r="D27" s="644">
        <v>15000</v>
      </c>
    </row>
    <row r="28" spans="1:4" ht="24.9" customHeight="1" x14ac:dyDescent="0.25">
      <c r="C28" s="645" t="s">
        <v>1143</v>
      </c>
      <c r="D28" s="644">
        <v>42000</v>
      </c>
    </row>
    <row r="29" spans="1:4" ht="24.9" customHeight="1" x14ac:dyDescent="0.25">
      <c r="C29" s="645" t="s">
        <v>1144</v>
      </c>
      <c r="D29" s="644">
        <v>20000</v>
      </c>
    </row>
    <row r="30" spans="1:4" ht="24.9" customHeight="1" thickBot="1" x14ac:dyDescent="0.3">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8"/>
  <sheetViews>
    <sheetView showZeros="0" topLeftCell="A19" zoomScale="130" zoomScaleNormal="130" zoomScaleSheetLayoutView="110" workbookViewId="0">
      <selection activeCell="M34" sqref="M34"/>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73" t="s">
        <v>1545</v>
      </c>
      <c r="B1" s="1374"/>
      <c r="C1" s="1374"/>
      <c r="D1" s="1374"/>
      <c r="E1" s="1374"/>
      <c r="F1" s="1374"/>
      <c r="G1" s="1374"/>
      <c r="H1" s="1374"/>
      <c r="I1" s="1375"/>
    </row>
    <row r="2" spans="1:13" ht="18" customHeight="1" thickBot="1" x14ac:dyDescent="0.3">
      <c r="A2" s="1336" t="s">
        <v>562</v>
      </c>
      <c r="B2" s="1337"/>
      <c r="C2" s="1337"/>
      <c r="D2" s="1337"/>
      <c r="E2" s="1337"/>
      <c r="F2" s="1337"/>
      <c r="G2" s="1337"/>
      <c r="H2" s="1337"/>
      <c r="I2" s="1338"/>
      <c r="K2" s="845" t="s">
        <v>1133</v>
      </c>
    </row>
    <row r="3" spans="1:13" ht="20.100000000000001" customHeight="1" x14ac:dyDescent="0.25">
      <c r="A3" s="417"/>
      <c r="B3" s="850" t="s">
        <v>1463</v>
      </c>
      <c r="C3" s="419"/>
      <c r="D3" s="419"/>
      <c r="E3" s="419"/>
      <c r="F3" s="419"/>
      <c r="G3" s="419"/>
      <c r="H3" s="501" t="s">
        <v>1013</v>
      </c>
      <c r="I3" s="470"/>
      <c r="K3" s="416" t="s">
        <v>1546</v>
      </c>
      <c r="M3" s="416">
        <v>489600</v>
      </c>
    </row>
    <row r="4" spans="1:13" ht="15" customHeight="1" x14ac:dyDescent="0.25">
      <c r="A4" s="420"/>
      <c r="B4" s="435"/>
      <c r="C4" s="422" t="s">
        <v>567</v>
      </c>
      <c r="D4" s="422"/>
      <c r="E4" s="431"/>
      <c r="F4" s="423"/>
      <c r="G4" s="411">
        <f>+M8</f>
        <v>746011</v>
      </c>
      <c r="H4" s="482"/>
      <c r="I4" s="471"/>
      <c r="K4" s="416" t="s">
        <v>1563</v>
      </c>
      <c r="M4" s="416">
        <v>42512</v>
      </c>
    </row>
    <row r="5" spans="1:13" ht="15" customHeight="1" x14ac:dyDescent="0.25">
      <c r="A5" s="420"/>
      <c r="B5" s="408"/>
      <c r="C5" s="408" t="s">
        <v>1560</v>
      </c>
      <c r="D5" s="415"/>
      <c r="E5" s="415"/>
      <c r="F5" s="415"/>
      <c r="G5" s="523">
        <v>40000</v>
      </c>
      <c r="H5" s="482">
        <f>G4-G5</f>
        <v>706011</v>
      </c>
      <c r="I5" s="472"/>
      <c r="K5" s="416" t="s">
        <v>1547</v>
      </c>
      <c r="M5" s="416">
        <v>117504</v>
      </c>
    </row>
    <row r="6" spans="1:13" ht="15" customHeight="1" x14ac:dyDescent="0.25">
      <c r="A6" s="420"/>
      <c r="B6" s="851" t="s">
        <v>1464</v>
      </c>
      <c r="C6" s="415"/>
      <c r="D6" s="415"/>
      <c r="E6" s="905"/>
      <c r="F6" s="423"/>
      <c r="G6" s="415"/>
      <c r="H6" s="482"/>
      <c r="I6" s="472"/>
      <c r="K6" s="416" t="s">
        <v>1548</v>
      </c>
      <c r="M6" s="415">
        <v>43184</v>
      </c>
    </row>
    <row r="7" spans="1:13" ht="15" customHeight="1" x14ac:dyDescent="0.25">
      <c r="A7" s="420"/>
      <c r="B7" s="851"/>
      <c r="C7" s="583" t="s">
        <v>1164</v>
      </c>
      <c r="D7" s="422"/>
      <c r="E7" s="672"/>
      <c r="F7" s="679"/>
      <c r="G7" s="411"/>
      <c r="H7" s="482"/>
      <c r="I7" s="472"/>
      <c r="K7" s="416" t="s">
        <v>1574</v>
      </c>
      <c r="L7" s="747">
        <v>0.1</v>
      </c>
      <c r="M7" s="681">
        <f>ROUND((M3+M4)*0.1,0)</f>
        <v>53211</v>
      </c>
    </row>
    <row r="8" spans="1:13" ht="15" customHeight="1" x14ac:dyDescent="0.3">
      <c r="A8" s="420"/>
      <c r="B8" s="583"/>
      <c r="C8" s="7" t="s">
        <v>1462</v>
      </c>
      <c r="D8" s="415"/>
      <c r="E8" s="854"/>
      <c r="F8" s="875"/>
      <c r="G8" s="523"/>
      <c r="H8" s="482"/>
      <c r="I8" s="472"/>
      <c r="M8" s="416">
        <f>SUM(M3:M7)</f>
        <v>746011</v>
      </c>
    </row>
    <row r="9" spans="1:13" ht="20.100000000000001" customHeight="1" x14ac:dyDescent="0.25">
      <c r="A9" s="420"/>
      <c r="B9" s="435" t="s">
        <v>1467</v>
      </c>
      <c r="C9" s="415"/>
      <c r="D9" s="415"/>
      <c r="E9" s="415"/>
      <c r="F9" s="415"/>
      <c r="G9" s="415"/>
      <c r="H9" s="482"/>
      <c r="I9" s="471"/>
      <c r="K9" s="416" t="s">
        <v>1575</v>
      </c>
      <c r="M9" s="681">
        <v>40000</v>
      </c>
    </row>
    <row r="10" spans="1:13" ht="15.75" customHeight="1" x14ac:dyDescent="0.25">
      <c r="A10" s="420"/>
      <c r="B10" s="435"/>
      <c r="C10" s="422" t="s">
        <v>1247</v>
      </c>
      <c r="D10" s="415"/>
      <c r="E10" s="415"/>
      <c r="F10" s="415"/>
      <c r="G10" s="411"/>
      <c r="H10" s="482"/>
      <c r="I10" s="471"/>
    </row>
    <row r="11" spans="1:13" ht="13.8" x14ac:dyDescent="0.3">
      <c r="A11" s="420"/>
      <c r="B11" s="891"/>
      <c r="C11" s="422"/>
      <c r="D11" s="844"/>
      <c r="E11" s="874"/>
      <c r="F11" s="408"/>
      <c r="G11" s="462"/>
      <c r="H11" s="482"/>
      <c r="I11" s="471"/>
    </row>
    <row r="12" spans="1:13" ht="15" customHeight="1" x14ac:dyDescent="0.3">
      <c r="A12" s="420"/>
      <c r="B12" s="854"/>
      <c r="C12" s="431"/>
      <c r="D12" s="434"/>
      <c r="E12" s="433"/>
      <c r="F12" s="433"/>
      <c r="G12" s="480">
        <f>SUM(G11:G11)</f>
        <v>0</v>
      </c>
      <c r="H12" s="482"/>
      <c r="I12" s="471"/>
    </row>
    <row r="13" spans="1:13" ht="15" customHeight="1" x14ac:dyDescent="0.3">
      <c r="A13" s="420"/>
      <c r="B13" s="854"/>
      <c r="C13" s="415"/>
      <c r="D13" s="415"/>
      <c r="E13" s="415"/>
      <c r="F13" s="415"/>
      <c r="G13" s="437"/>
      <c r="H13" s="482">
        <f>+G12</f>
        <v>0</v>
      </c>
      <c r="I13" s="472"/>
    </row>
    <row r="14" spans="1:13" ht="15" customHeight="1" x14ac:dyDescent="0.25">
      <c r="A14" s="420"/>
      <c r="B14" s="653"/>
      <c r="C14" s="435"/>
      <c r="D14" s="436"/>
      <c r="E14" s="415"/>
      <c r="F14" s="444"/>
      <c r="G14" s="437"/>
      <c r="H14" s="484"/>
      <c r="I14" s="534"/>
    </row>
    <row r="15" spans="1:13" ht="15" customHeight="1" x14ac:dyDescent="0.25">
      <c r="A15" s="420"/>
      <c r="B15" s="435" t="s">
        <v>501</v>
      </c>
      <c r="C15" s="415"/>
      <c r="D15" s="415"/>
      <c r="E15" s="428"/>
      <c r="F15" s="428"/>
      <c r="G15" s="424"/>
      <c r="H15" s="485">
        <f>SUM(H5:H13)</f>
        <v>706011</v>
      </c>
      <c r="I15" s="472"/>
    </row>
    <row r="16" spans="1:13" ht="15" customHeight="1" x14ac:dyDescent="0.25">
      <c r="A16" s="420" t="s">
        <v>1275</v>
      </c>
      <c r="B16" s="590" t="s">
        <v>1468</v>
      </c>
      <c r="C16" s="415"/>
      <c r="D16" s="415"/>
      <c r="E16" s="415"/>
      <c r="F16" s="415"/>
      <c r="G16" s="415"/>
      <c r="H16" s="482"/>
      <c r="I16" s="471"/>
    </row>
    <row r="17" spans="1:13" ht="15" customHeight="1" x14ac:dyDescent="0.25">
      <c r="A17" s="420"/>
      <c r="B17" s="680"/>
      <c r="C17" s="449" t="s">
        <v>1483</v>
      </c>
      <c r="D17" s="415"/>
      <c r="E17" s="415"/>
      <c r="F17" s="415"/>
      <c r="G17" s="423"/>
      <c r="H17" s="482"/>
      <c r="I17" s="471"/>
      <c r="K17" s="416" t="s">
        <v>1576</v>
      </c>
      <c r="L17" s="416">
        <v>53211</v>
      </c>
    </row>
    <row r="18" spans="1:13" ht="15" customHeight="1" x14ac:dyDescent="0.25">
      <c r="A18" s="420"/>
      <c r="B18" s="680"/>
      <c r="C18" s="697" t="s">
        <v>509</v>
      </c>
      <c r="D18" s="415"/>
      <c r="E18" s="415"/>
      <c r="F18" s="411">
        <f>+L18</f>
        <v>100000</v>
      </c>
      <c r="G18" s="423"/>
      <c r="H18" s="482"/>
      <c r="I18" s="471"/>
      <c r="K18" s="416" t="s">
        <v>1577</v>
      </c>
      <c r="L18" s="416">
        <v>100000</v>
      </c>
    </row>
    <row r="19" spans="1:13" ht="15" customHeight="1" x14ac:dyDescent="0.25">
      <c r="A19" s="420"/>
      <c r="B19" s="680"/>
      <c r="C19" s="697" t="s">
        <v>1215</v>
      </c>
      <c r="D19" s="415"/>
      <c r="E19" s="415"/>
      <c r="F19" s="411">
        <f>+L19</f>
        <v>48000</v>
      </c>
      <c r="G19" s="423"/>
      <c r="H19" s="482"/>
      <c r="I19" s="471"/>
      <c r="K19" s="416" t="s">
        <v>1215</v>
      </c>
      <c r="L19" s="416">
        <v>48000</v>
      </c>
    </row>
    <row r="20" spans="1:13" ht="15" customHeight="1" x14ac:dyDescent="0.25">
      <c r="A20" s="420"/>
      <c r="B20" s="680"/>
      <c r="C20" s="431"/>
      <c r="D20" s="415"/>
      <c r="E20" s="415"/>
      <c r="F20" s="919">
        <f>SUM(F18:F19)</f>
        <v>148000</v>
      </c>
      <c r="G20" s="415"/>
      <c r="H20" s="482"/>
      <c r="I20" s="471"/>
    </row>
    <row r="21" spans="1:13" ht="15" customHeight="1" x14ac:dyDescent="0.25">
      <c r="A21" s="420"/>
      <c r="B21" s="680"/>
      <c r="C21" s="449" t="s">
        <v>1578</v>
      </c>
      <c r="D21" s="415"/>
      <c r="E21" s="415"/>
      <c r="F21" s="681">
        <v>3211</v>
      </c>
      <c r="G21" s="411">
        <f>150000</f>
        <v>150000</v>
      </c>
      <c r="H21" s="482"/>
      <c r="I21" s="471"/>
    </row>
    <row r="22" spans="1:13" ht="15" customHeight="1" x14ac:dyDescent="0.25">
      <c r="A22" s="420"/>
      <c r="B22" s="680"/>
      <c r="C22" s="449" t="s">
        <v>1579</v>
      </c>
      <c r="D22" s="415"/>
      <c r="E22" s="415"/>
      <c r="F22" s="450"/>
      <c r="G22" s="411">
        <v>50000</v>
      </c>
      <c r="H22" s="482"/>
      <c r="I22" s="471"/>
    </row>
    <row r="23" spans="1:13" ht="15" customHeight="1" x14ac:dyDescent="0.25">
      <c r="A23" s="420"/>
      <c r="B23" s="680"/>
      <c r="C23" s="449" t="s">
        <v>1580</v>
      </c>
      <c r="D23" s="415"/>
      <c r="E23" s="415"/>
      <c r="F23" s="450"/>
      <c r="G23" s="411">
        <f>+L17</f>
        <v>53211</v>
      </c>
      <c r="H23" s="482"/>
      <c r="I23" s="471"/>
    </row>
    <row r="24" spans="1:13" ht="15" customHeight="1" x14ac:dyDescent="0.25">
      <c r="A24" s="420"/>
      <c r="B24" s="680"/>
      <c r="C24" s="449" t="s">
        <v>979</v>
      </c>
      <c r="D24" s="857"/>
      <c r="E24" s="428"/>
      <c r="F24" s="428"/>
      <c r="G24" s="447"/>
      <c r="H24" s="482"/>
      <c r="I24" s="471"/>
    </row>
    <row r="25" spans="1:13" x14ac:dyDescent="0.25">
      <c r="A25" s="420"/>
      <c r="B25" s="408"/>
      <c r="H25" s="482">
        <f>SUM(G20:G24)</f>
        <v>253211</v>
      </c>
      <c r="I25" s="472"/>
    </row>
    <row r="26" spans="1:13" ht="15.75" customHeight="1" thickBot="1" x14ac:dyDescent="0.3">
      <c r="A26" s="420"/>
      <c r="B26" s="855" t="s">
        <v>777</v>
      </c>
      <c r="C26" s="415"/>
      <c r="D26" s="415"/>
      <c r="E26" s="452">
        <f>IF((H15-H25)&lt;0,0,(H15-H25))</f>
        <v>452800</v>
      </c>
      <c r="F26" s="453" t="s">
        <v>1561</v>
      </c>
      <c r="G26" s="440"/>
      <c r="H26" s="486">
        <f>ROUND((E26/10),0)*10</f>
        <v>452800</v>
      </c>
      <c r="I26" s="475"/>
      <c r="L26" s="685"/>
      <c r="M26" s="685"/>
    </row>
    <row r="27" spans="1:13" ht="21.75" customHeight="1" thickTop="1" x14ac:dyDescent="0.25">
      <c r="A27" s="420"/>
      <c r="B27" s="449" t="s">
        <v>778</v>
      </c>
      <c r="C27" s="415"/>
      <c r="D27" s="415"/>
      <c r="E27" s="914" t="s">
        <v>521</v>
      </c>
      <c r="F27" s="915"/>
      <c r="G27" s="914" t="s">
        <v>524</v>
      </c>
      <c r="H27" s="896">
        <f>+G28</f>
        <v>10140</v>
      </c>
      <c r="I27" s="471"/>
      <c r="K27" s="918" t="s">
        <v>1028</v>
      </c>
      <c r="L27" s="918" t="s">
        <v>1378</v>
      </c>
    </row>
    <row r="28" spans="1:13" ht="15" hidden="1" customHeight="1" x14ac:dyDescent="0.25">
      <c r="A28" s="420"/>
      <c r="B28" s="895">
        <v>21568</v>
      </c>
      <c r="C28" s="467"/>
      <c r="D28" s="408" t="s">
        <v>1534</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2"/>
    </row>
    <row r="29" spans="1:13" ht="15" hidden="1" customHeight="1" x14ac:dyDescent="0.25">
      <c r="A29" s="420"/>
      <c r="B29" s="877"/>
      <c r="C29" s="467"/>
      <c r="D29" s="408" t="s">
        <v>1522</v>
      </c>
      <c r="E29" s="455"/>
      <c r="F29" s="678"/>
      <c r="G29" s="415">
        <f>ROUND(E29*F29,0)</f>
        <v>0</v>
      </c>
      <c r="H29" s="487"/>
      <c r="I29" s="471"/>
      <c r="K29" s="918"/>
    </row>
    <row r="30" spans="1:13" ht="18.75" customHeight="1" x14ac:dyDescent="0.25">
      <c r="A30" s="420"/>
      <c r="B30" s="912" t="s">
        <v>1564</v>
      </c>
      <c r="D30" s="408"/>
      <c r="E30" s="749"/>
      <c r="F30" s="678"/>
      <c r="H30" s="528">
        <f>IF(H26&gt;350000,0,IF(G28&gt;2500,2500,G28))</f>
        <v>0</v>
      </c>
      <c r="I30" s="473"/>
      <c r="K30" s="918" t="s">
        <v>1581</v>
      </c>
      <c r="L30" s="747">
        <v>0.05</v>
      </c>
      <c r="M30" s="416">
        <f>ROUND((H26-250000)*0.05,0)</f>
        <v>10140</v>
      </c>
    </row>
    <row r="31" spans="1:13" ht="15" hidden="1" customHeight="1" x14ac:dyDescent="0.25">
      <c r="A31" s="420"/>
      <c r="B31" s="601" t="s">
        <v>1523</v>
      </c>
      <c r="C31" s="524"/>
      <c r="D31" s="678"/>
      <c r="E31" s="749"/>
      <c r="G31" s="538"/>
      <c r="H31" s="696"/>
      <c r="I31" s="473"/>
    </row>
    <row r="32" spans="1:13" ht="15" customHeight="1" x14ac:dyDescent="0.25">
      <c r="A32" s="420"/>
      <c r="B32" s="449" t="s">
        <v>1243</v>
      </c>
      <c r="C32" s="524"/>
      <c r="D32" s="415"/>
      <c r="E32" s="749"/>
      <c r="F32" s="750"/>
      <c r="G32" s="526"/>
      <c r="H32" s="489">
        <f>H27-H30</f>
        <v>10140</v>
      </c>
      <c r="I32" s="472"/>
      <c r="L32" s="685"/>
    </row>
    <row r="33" spans="1:13" ht="15" customHeight="1" x14ac:dyDescent="0.25">
      <c r="A33" s="420"/>
      <c r="B33" s="408" t="s">
        <v>1558</v>
      </c>
      <c r="C33" s="415"/>
      <c r="D33" s="456"/>
      <c r="E33" s="428"/>
      <c r="F33" s="415"/>
      <c r="G33" s="428"/>
      <c r="H33" s="489">
        <f>H32*0.03</f>
        <v>304.2</v>
      </c>
      <c r="I33" s="472"/>
    </row>
    <row r="34" spans="1:13" ht="15" customHeight="1" x14ac:dyDescent="0.25">
      <c r="A34" s="908"/>
      <c r="B34" s="683" t="s">
        <v>1559</v>
      </c>
      <c r="C34" s="681"/>
      <c r="D34" s="909"/>
      <c r="E34" s="910"/>
      <c r="F34" s="681"/>
      <c r="G34" s="911"/>
      <c r="H34" s="528">
        <f>ROUND((H32)*0.01,0)</f>
        <v>101</v>
      </c>
      <c r="I34" s="474"/>
      <c r="K34" s="416" t="s">
        <v>1586</v>
      </c>
      <c r="M34" s="884" t="s">
        <v>1584</v>
      </c>
    </row>
    <row r="35" spans="1:13" ht="18" customHeight="1" thickBot="1" x14ac:dyDescent="0.3">
      <c r="A35" s="897"/>
      <c r="B35" s="898" t="s">
        <v>565</v>
      </c>
      <c r="C35" s="899"/>
      <c r="D35" s="900"/>
      <c r="E35" s="901"/>
      <c r="F35" s="907" t="s">
        <v>1562</v>
      </c>
      <c r="G35" s="902"/>
      <c r="H35" s="903">
        <f>SUM(H32:H34)</f>
        <v>10545.2</v>
      </c>
      <c r="I35" s="904"/>
      <c r="K35" s="416" t="s">
        <v>1583</v>
      </c>
      <c r="M35" s="884" t="s">
        <v>1585</v>
      </c>
    </row>
    <row r="36" spans="1:13" ht="18" hidden="1" customHeight="1" thickTop="1" x14ac:dyDescent="0.25">
      <c r="A36" s="804"/>
      <c r="B36" s="888"/>
      <c r="C36" s="805"/>
      <c r="D36" s="748"/>
      <c r="E36" s="428"/>
      <c r="G36" s="887"/>
      <c r="H36" s="807"/>
      <c r="I36" s="806"/>
      <c r="M36" s="920"/>
    </row>
    <row r="37" spans="1:13" ht="17.25" customHeight="1" thickTop="1" x14ac:dyDescent="0.25">
      <c r="A37" s="1376">
        <f ca="1">TODAY()</f>
        <v>44617</v>
      </c>
      <c r="B37" s="1376"/>
      <c r="E37" s="554"/>
      <c r="F37" s="554"/>
      <c r="G37" s="554"/>
      <c r="H37" s="860" t="s">
        <v>1485</v>
      </c>
      <c r="J37" s="554"/>
      <c r="K37" s="416" t="s">
        <v>1582</v>
      </c>
      <c r="M37" s="921">
        <f>H35/G4</f>
        <v>1.4135448404916283E-2</v>
      </c>
    </row>
    <row r="38" spans="1:13" x14ac:dyDescent="0.25">
      <c r="A38" s="567"/>
      <c r="B38" s="894"/>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xr:uid="{00000000-0002-0000-18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3"/>
  <sheetViews>
    <sheetView showZeros="0" topLeftCell="A22" zoomScale="130" zoomScaleNormal="130" zoomScaleSheetLayoutView="110" workbookViewId="0">
      <selection activeCell="H39" sqref="H39"/>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73" t="s">
        <v>1565</v>
      </c>
      <c r="B1" s="1374"/>
      <c r="C1" s="1374"/>
      <c r="D1" s="1374"/>
      <c r="E1" s="1374"/>
      <c r="F1" s="1374"/>
      <c r="G1" s="1374"/>
      <c r="H1" s="1374"/>
      <c r="I1" s="1375"/>
    </row>
    <row r="2" spans="1:13" ht="18" customHeight="1" thickBot="1" x14ac:dyDescent="0.3">
      <c r="A2" s="1336" t="s">
        <v>562</v>
      </c>
      <c r="B2" s="1337"/>
      <c r="C2" s="1337"/>
      <c r="D2" s="1337"/>
      <c r="E2" s="1337"/>
      <c r="F2" s="1337"/>
      <c r="G2" s="1337"/>
      <c r="H2" s="1337"/>
      <c r="I2" s="1338"/>
      <c r="K2" s="845" t="s">
        <v>1133</v>
      </c>
    </row>
    <row r="3" spans="1:13" ht="20.100000000000001" customHeight="1" x14ac:dyDescent="0.25">
      <c r="A3" s="417"/>
      <c r="B3" s="850" t="s">
        <v>1463</v>
      </c>
      <c r="C3" s="419"/>
      <c r="D3" s="419"/>
      <c r="E3" s="419"/>
      <c r="F3" s="419"/>
      <c r="G3" s="419"/>
      <c r="H3" s="501" t="s">
        <v>1013</v>
      </c>
      <c r="I3" s="470"/>
      <c r="K3" s="416" t="s">
        <v>1546</v>
      </c>
      <c r="M3" s="416">
        <f>426549-31419</f>
        <v>395130</v>
      </c>
    </row>
    <row r="4" spans="1:13" ht="15" customHeight="1" x14ac:dyDescent="0.25">
      <c r="A4" s="420"/>
      <c r="B4" s="435"/>
      <c r="C4" s="422" t="s">
        <v>567</v>
      </c>
      <c r="D4" s="422"/>
      <c r="E4" s="431"/>
      <c r="F4" s="423"/>
      <c r="G4" s="411">
        <v>399069</v>
      </c>
      <c r="H4" s="482"/>
      <c r="I4" s="471"/>
      <c r="K4" s="416" t="s">
        <v>1574</v>
      </c>
      <c r="L4" s="747">
        <v>0.1</v>
      </c>
      <c r="M4" s="681">
        <v>31419</v>
      </c>
    </row>
    <row r="5" spans="1:13" ht="15" customHeight="1" x14ac:dyDescent="0.25">
      <c r="A5" s="420"/>
      <c r="B5" s="888">
        <v>27480</v>
      </c>
      <c r="C5" s="408" t="s">
        <v>1588</v>
      </c>
      <c r="D5" s="415"/>
      <c r="E5" s="415"/>
      <c r="F5" s="415"/>
      <c r="G5" s="906"/>
      <c r="H5" s="482">
        <f>G4-G5</f>
        <v>399069</v>
      </c>
      <c r="I5" s="472"/>
      <c r="M5" s="416">
        <f>M3+M4</f>
        <v>426549</v>
      </c>
    </row>
    <row r="6" spans="1:13" ht="15" customHeight="1" x14ac:dyDescent="0.25">
      <c r="A6" s="420"/>
      <c r="B6" s="851" t="s">
        <v>1464</v>
      </c>
      <c r="C6" s="415"/>
      <c r="D6" s="415"/>
      <c r="E6" s="905"/>
      <c r="F6" s="423"/>
      <c r="G6" s="415"/>
      <c r="H6" s="482"/>
      <c r="I6" s="472"/>
      <c r="K6" s="416" t="s">
        <v>1589</v>
      </c>
      <c r="L6" s="415">
        <v>16400</v>
      </c>
      <c r="M6" s="415"/>
    </row>
    <row r="7" spans="1:13" ht="15" customHeight="1" x14ac:dyDescent="0.25">
      <c r="A7" s="420"/>
      <c r="B7" s="851"/>
      <c r="C7" s="583" t="s">
        <v>1164</v>
      </c>
      <c r="D7" s="422"/>
      <c r="E7" s="672"/>
      <c r="F7" s="679"/>
      <c r="G7" s="411"/>
      <c r="H7" s="482"/>
      <c r="I7" s="472"/>
      <c r="K7" s="416" t="s">
        <v>1590</v>
      </c>
      <c r="L7" s="681">
        <v>11080</v>
      </c>
      <c r="M7" s="681">
        <f>L6+L7</f>
        <v>27480</v>
      </c>
    </row>
    <row r="8" spans="1:13" ht="15" customHeight="1" thickBot="1" x14ac:dyDescent="0.35">
      <c r="A8" s="420"/>
      <c r="B8" s="583"/>
      <c r="C8" s="7" t="s">
        <v>1462</v>
      </c>
      <c r="D8" s="415"/>
      <c r="E8" s="854"/>
      <c r="F8" s="875"/>
      <c r="G8" s="523"/>
      <c r="H8" s="482"/>
      <c r="I8" s="472"/>
      <c r="L8" s="415"/>
      <c r="M8" s="926">
        <f>M5-M7</f>
        <v>399069</v>
      </c>
    </row>
    <row r="9" spans="1:13" ht="20.100000000000001" customHeight="1" x14ac:dyDescent="0.25">
      <c r="A9" s="420"/>
      <c r="B9" s="435" t="s">
        <v>1467</v>
      </c>
      <c r="C9" s="415"/>
      <c r="D9" s="415"/>
      <c r="E9" s="415"/>
      <c r="F9" s="415"/>
      <c r="G9" s="415"/>
      <c r="H9" s="482"/>
      <c r="I9" s="471"/>
      <c r="K9" s="416" t="s">
        <v>1591</v>
      </c>
      <c r="L9" s="416">
        <f>M5-M7</f>
        <v>399069</v>
      </c>
    </row>
    <row r="10" spans="1:13" ht="15.75" customHeight="1" x14ac:dyDescent="0.25">
      <c r="A10" s="420"/>
      <c r="B10" s="888">
        <v>2000</v>
      </c>
      <c r="C10" s="422" t="s">
        <v>1247</v>
      </c>
      <c r="D10" s="415"/>
      <c r="E10" s="415"/>
      <c r="F10" s="415"/>
      <c r="G10" s="411"/>
      <c r="H10" s="482"/>
      <c r="I10" s="471"/>
    </row>
    <row r="11" spans="1:13" ht="15.75" customHeight="1" x14ac:dyDescent="0.25">
      <c r="A11" s="420"/>
      <c r="B11" s="888">
        <v>10190</v>
      </c>
      <c r="C11" s="422" t="s">
        <v>1592</v>
      </c>
      <c r="D11" s="415"/>
      <c r="E11" s="415"/>
      <c r="F11" s="415"/>
      <c r="G11" s="936">
        <v>3299</v>
      </c>
      <c r="H11" s="482"/>
      <c r="I11" s="471"/>
    </row>
    <row r="12" spans="1:13" ht="15.75" customHeight="1" x14ac:dyDescent="0.25">
      <c r="A12" s="420"/>
      <c r="B12" s="888">
        <v>215</v>
      </c>
      <c r="C12" s="422" t="s">
        <v>1593</v>
      </c>
      <c r="D12" s="415"/>
      <c r="E12" s="415"/>
      <c r="F12" s="415"/>
      <c r="G12" s="936"/>
      <c r="H12" s="482"/>
      <c r="I12" s="471"/>
    </row>
    <row r="13" spans="1:13" ht="13.8" x14ac:dyDescent="0.3">
      <c r="A13" s="420"/>
      <c r="B13" s="891"/>
      <c r="D13" s="844"/>
      <c r="E13" s="874"/>
      <c r="F13" s="408"/>
      <c r="G13" s="462"/>
      <c r="H13" s="482"/>
      <c r="I13" s="471"/>
    </row>
    <row r="14" spans="1:13" ht="15" customHeight="1" x14ac:dyDescent="0.3">
      <c r="A14" s="420"/>
      <c r="B14" s="854"/>
      <c r="C14" s="431"/>
      <c r="D14" s="434"/>
      <c r="E14" s="433"/>
      <c r="F14" s="433"/>
      <c r="G14" s="480">
        <f>SUM(G10:G13)</f>
        <v>3299</v>
      </c>
      <c r="H14" s="482"/>
      <c r="I14" s="471"/>
    </row>
    <row r="15" spans="1:13" ht="15" customHeight="1" x14ac:dyDescent="0.3">
      <c r="A15" s="420"/>
      <c r="B15" s="854"/>
      <c r="C15" s="415"/>
      <c r="D15" s="415"/>
      <c r="E15" s="415"/>
      <c r="F15" s="415"/>
      <c r="G15" s="437"/>
      <c r="H15" s="482">
        <f>+G14</f>
        <v>3299</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402368</v>
      </c>
      <c r="I17" s="472"/>
    </row>
    <row r="18" spans="1:13" ht="15" customHeight="1" x14ac:dyDescent="0.25">
      <c r="A18" s="420" t="s">
        <v>1275</v>
      </c>
      <c r="B18" s="590" t="s">
        <v>1468</v>
      </c>
      <c r="C18" s="415"/>
      <c r="D18" s="415"/>
      <c r="E18" s="415"/>
      <c r="F18" s="415"/>
      <c r="G18" s="415"/>
      <c r="H18" s="482"/>
      <c r="I18" s="471"/>
    </row>
    <row r="19" spans="1:13" ht="15" customHeight="1" x14ac:dyDescent="0.25">
      <c r="A19" s="420"/>
      <c r="B19" s="680"/>
      <c r="C19" s="449" t="s">
        <v>1483</v>
      </c>
      <c r="D19" s="415"/>
      <c r="E19" s="415"/>
      <c r="F19" s="415"/>
      <c r="G19" s="423"/>
      <c r="H19" s="482"/>
      <c r="I19" s="471"/>
    </row>
    <row r="20" spans="1:13" ht="15" customHeight="1" x14ac:dyDescent="0.25">
      <c r="A20" s="420"/>
      <c r="B20" s="680"/>
      <c r="C20" s="697" t="s">
        <v>1599</v>
      </c>
      <c r="D20" s="415"/>
      <c r="E20" s="415"/>
      <c r="F20" s="411">
        <v>34432</v>
      </c>
      <c r="G20" s="423"/>
      <c r="H20" s="482"/>
      <c r="I20" s="471"/>
    </row>
    <row r="21" spans="1:13" ht="15" customHeight="1" x14ac:dyDescent="0.25">
      <c r="A21" s="420"/>
      <c r="B21" s="680"/>
      <c r="C21" s="697" t="s">
        <v>1598</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1578</v>
      </c>
      <c r="D24" s="415"/>
      <c r="E24" s="415" t="s">
        <v>1149</v>
      </c>
      <c r="F24" s="681">
        <v>31419</v>
      </c>
      <c r="G24" s="411">
        <f>F23+F24</f>
        <v>116211</v>
      </c>
      <c r="H24" s="482"/>
      <c r="I24" s="471"/>
    </row>
    <row r="25" spans="1:13" ht="15" customHeight="1" x14ac:dyDescent="0.25">
      <c r="A25" s="420"/>
      <c r="B25" s="680"/>
      <c r="C25" s="449" t="s">
        <v>1580</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252738</v>
      </c>
      <c r="F28" s="453" t="s">
        <v>1561</v>
      </c>
      <c r="G28" s="440"/>
      <c r="H28" s="486">
        <f>ROUND((E28/10),0)*10</f>
        <v>252740</v>
      </c>
      <c r="I28" s="475"/>
      <c r="L28" s="685"/>
      <c r="M28" s="685"/>
    </row>
    <row r="29" spans="1:13" ht="21.75" customHeight="1" thickTop="1" x14ac:dyDescent="0.25">
      <c r="A29" s="420"/>
      <c r="B29" s="449" t="s">
        <v>778</v>
      </c>
      <c r="C29" s="415"/>
      <c r="D29" s="415"/>
      <c r="E29" s="914" t="s">
        <v>521</v>
      </c>
      <c r="F29" s="915"/>
      <c r="G29" s="914" t="s">
        <v>524</v>
      </c>
      <c r="H29" s="934">
        <f>+G30</f>
        <v>137</v>
      </c>
      <c r="I29" s="471"/>
      <c r="L29" s="685"/>
    </row>
    <row r="30" spans="1:13" ht="15" hidden="1" customHeight="1" x14ac:dyDescent="0.25">
      <c r="A30" s="420"/>
      <c r="B30" s="895">
        <v>21568</v>
      </c>
      <c r="C30" s="467"/>
      <c r="D30" s="408" t="s">
        <v>1534</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29"/>
      <c r="I30" s="471"/>
      <c r="L30" s="685"/>
    </row>
    <row r="31" spans="1:13" ht="15" hidden="1" customHeight="1" x14ac:dyDescent="0.25">
      <c r="A31" s="420"/>
      <c r="B31" s="877"/>
      <c r="C31" s="467"/>
      <c r="D31" s="408" t="s">
        <v>1522</v>
      </c>
      <c r="E31" s="455"/>
      <c r="F31" s="678"/>
      <c r="G31" s="415">
        <f>ROUND(E31*F31,0)</f>
        <v>0</v>
      </c>
      <c r="H31" s="929"/>
      <c r="I31" s="471"/>
      <c r="L31" s="685"/>
    </row>
    <row r="32" spans="1:13" ht="18.75" customHeight="1" x14ac:dyDescent="0.25">
      <c r="A32" s="420"/>
      <c r="B32" s="928" t="s">
        <v>1594</v>
      </c>
      <c r="D32" s="408"/>
      <c r="E32" s="749"/>
      <c r="F32" s="678"/>
      <c r="H32" s="930">
        <f>IF(H28&gt;350000,0,IF(G30&gt;2500,2500,G30))</f>
        <v>137</v>
      </c>
      <c r="I32" s="473"/>
      <c r="L32" s="685"/>
    </row>
    <row r="33" spans="1:12" ht="15" hidden="1" customHeight="1" x14ac:dyDescent="0.25">
      <c r="A33" s="420"/>
      <c r="B33" s="601" t="s">
        <v>1523</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1558</v>
      </c>
      <c r="C35" s="415"/>
      <c r="D35" s="456"/>
      <c r="E35" s="428"/>
      <c r="F35" s="415"/>
      <c r="G35" s="428"/>
      <c r="H35" s="932">
        <v>0</v>
      </c>
      <c r="I35" s="472"/>
      <c r="L35" s="685"/>
    </row>
    <row r="36" spans="1:12" ht="15" customHeight="1" x14ac:dyDescent="0.25">
      <c r="B36" s="408" t="s">
        <v>1595</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1596</v>
      </c>
      <c r="C38" s="415"/>
      <c r="D38" s="456"/>
      <c r="E38" s="458"/>
      <c r="F38" s="415"/>
      <c r="G38" s="428"/>
      <c r="H38" s="933">
        <f>1844+1019</f>
        <v>2863</v>
      </c>
      <c r="I38" s="927"/>
      <c r="L38" s="685"/>
    </row>
    <row r="39" spans="1:12" ht="18" customHeight="1" thickBot="1" x14ac:dyDescent="0.3">
      <c r="A39" s="897"/>
      <c r="B39" s="898" t="s">
        <v>1597</v>
      </c>
      <c r="C39" s="899"/>
      <c r="D39" s="900"/>
      <c r="E39" s="901"/>
      <c r="F39" s="907" t="s">
        <v>1562</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76">
        <f ca="1">TODAY()</f>
        <v>44617</v>
      </c>
      <c r="B41" s="1376"/>
      <c r="E41" s="554"/>
      <c r="F41" s="554"/>
      <c r="G41" s="554"/>
      <c r="H41" s="860" t="s">
        <v>1485</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9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3"/>
  <sheetViews>
    <sheetView showZeros="0" topLeftCell="A7" zoomScale="130" zoomScaleNormal="130" zoomScaleSheetLayoutView="110" workbookViewId="0">
      <selection activeCell="L16" sqref="L1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2" s="413" customFormat="1" ht="18.75" customHeight="1" x14ac:dyDescent="0.25">
      <c r="A1" s="1373" t="s">
        <v>1565</v>
      </c>
      <c r="B1" s="1374"/>
      <c r="C1" s="1374"/>
      <c r="D1" s="1374"/>
      <c r="E1" s="1374"/>
      <c r="F1" s="1374"/>
      <c r="G1" s="1374"/>
      <c r="H1" s="1374"/>
      <c r="I1" s="1375"/>
    </row>
    <row r="2" spans="1:12" ht="18" customHeight="1" thickBot="1" x14ac:dyDescent="0.3">
      <c r="A2" s="1336" t="s">
        <v>562</v>
      </c>
      <c r="B2" s="1337"/>
      <c r="C2" s="1337"/>
      <c r="D2" s="1337"/>
      <c r="E2" s="1337"/>
      <c r="F2" s="1337"/>
      <c r="G2" s="1337"/>
      <c r="H2" s="1337"/>
      <c r="I2" s="1338"/>
      <c r="K2" s="845" t="s">
        <v>1133</v>
      </c>
      <c r="L2" s="416">
        <f>L8+L12</f>
        <v>426549</v>
      </c>
    </row>
    <row r="3" spans="1:12" ht="20.100000000000001" customHeight="1" x14ac:dyDescent="0.25">
      <c r="A3" s="417"/>
      <c r="B3" s="850" t="s">
        <v>1463</v>
      </c>
      <c r="C3" s="419"/>
      <c r="D3" s="419"/>
      <c r="E3" s="419"/>
      <c r="F3" s="419"/>
      <c r="G3" s="419"/>
      <c r="H3" s="501" t="s">
        <v>1013</v>
      </c>
      <c r="I3" s="470"/>
      <c r="K3" s="416" t="s">
        <v>1591</v>
      </c>
      <c r="L3" s="416">
        <v>300300</v>
      </c>
    </row>
    <row r="4" spans="1:12" ht="15" customHeight="1" x14ac:dyDescent="0.25">
      <c r="A4" s="420"/>
      <c r="B4" s="435"/>
      <c r="C4" s="422" t="s">
        <v>567</v>
      </c>
      <c r="D4" s="422"/>
      <c r="E4" s="431"/>
      <c r="F4" s="423"/>
      <c r="G4" s="411">
        <f>+L2</f>
        <v>426549</v>
      </c>
      <c r="H4" s="482"/>
      <c r="I4" s="471"/>
      <c r="K4" s="416" t="s">
        <v>1600</v>
      </c>
      <c r="L4" s="416">
        <f>98769-31419</f>
        <v>67350</v>
      </c>
    </row>
    <row r="5" spans="1:12" ht="15" customHeight="1" x14ac:dyDescent="0.25">
      <c r="A5" s="420"/>
      <c r="B5" s="888"/>
      <c r="C5" s="408" t="s">
        <v>1588</v>
      </c>
      <c r="D5" s="415"/>
      <c r="E5" s="415"/>
      <c r="F5" s="415"/>
      <c r="G5" s="906">
        <f>+L12</f>
        <v>27480</v>
      </c>
      <c r="H5" s="482">
        <f>G4-G5</f>
        <v>399069</v>
      </c>
      <c r="I5" s="472"/>
      <c r="K5" s="416" t="s">
        <v>1601</v>
      </c>
    </row>
    <row r="6" spans="1:12" ht="15" customHeight="1" x14ac:dyDescent="0.25">
      <c r="A6" s="420"/>
      <c r="B6" s="851" t="s">
        <v>1464</v>
      </c>
      <c r="C6" s="415"/>
      <c r="D6" s="415"/>
      <c r="E6" s="905"/>
      <c r="F6" s="423"/>
      <c r="G6" s="415"/>
      <c r="H6" s="482"/>
      <c r="I6" s="472"/>
      <c r="K6" s="416" t="s">
        <v>1603</v>
      </c>
      <c r="L6" s="416">
        <v>31419</v>
      </c>
    </row>
    <row r="7" spans="1:12" ht="15" customHeight="1" x14ac:dyDescent="0.25">
      <c r="A7" s="420"/>
      <c r="B7" s="851"/>
      <c r="C7" s="583" t="s">
        <v>1164</v>
      </c>
      <c r="D7" s="422"/>
      <c r="E7" s="672"/>
      <c r="F7" s="679"/>
      <c r="G7" s="411"/>
      <c r="H7" s="482"/>
      <c r="I7" s="472"/>
      <c r="K7" s="416" t="s">
        <v>1602</v>
      </c>
    </row>
    <row r="8" spans="1:12" ht="15" customHeight="1" x14ac:dyDescent="0.3">
      <c r="A8" s="420"/>
      <c r="B8" s="583"/>
      <c r="C8" s="7" t="s">
        <v>1462</v>
      </c>
      <c r="D8" s="415"/>
      <c r="E8" s="854"/>
      <c r="F8" s="875"/>
      <c r="G8" s="523"/>
      <c r="H8" s="482"/>
      <c r="I8" s="472"/>
      <c r="L8" s="937">
        <f>SUM(L3:L7)</f>
        <v>399069</v>
      </c>
    </row>
    <row r="9" spans="1:12" ht="20.100000000000001" customHeight="1" x14ac:dyDescent="0.25">
      <c r="A9" s="420"/>
      <c r="B9" s="435" t="s">
        <v>1467</v>
      </c>
      <c r="C9" s="415"/>
      <c r="D9" s="415"/>
      <c r="E9" s="415"/>
      <c r="F9" s="415"/>
      <c r="G9" s="415"/>
      <c r="H9" s="482"/>
      <c r="I9" s="471"/>
      <c r="K9" s="416" t="s">
        <v>1604</v>
      </c>
    </row>
    <row r="10" spans="1:12" ht="15.75" customHeight="1" x14ac:dyDescent="0.25">
      <c r="A10" s="420"/>
      <c r="B10" s="435">
        <v>0</v>
      </c>
      <c r="C10" s="422" t="s">
        <v>1247</v>
      </c>
      <c r="D10" s="415"/>
      <c r="E10" s="415"/>
      <c r="F10" s="415"/>
      <c r="G10" s="411">
        <v>2000</v>
      </c>
      <c r="H10" s="482"/>
      <c r="I10" s="471"/>
      <c r="K10" s="861" t="s">
        <v>1548</v>
      </c>
      <c r="L10" s="415">
        <v>16400</v>
      </c>
    </row>
    <row r="11" spans="1:12" ht="15.75" customHeight="1" x14ac:dyDescent="0.25">
      <c r="A11" s="420"/>
      <c r="B11" s="888">
        <v>3299</v>
      </c>
      <c r="C11" s="422" t="s">
        <v>1592</v>
      </c>
      <c r="D11" s="415"/>
      <c r="E11" s="415"/>
      <c r="F11" s="415"/>
      <c r="G11" s="411">
        <v>10190</v>
      </c>
      <c r="H11" s="482"/>
      <c r="I11" s="471"/>
      <c r="K11" s="861" t="s">
        <v>1605</v>
      </c>
      <c r="L11" s="681">
        <v>11080</v>
      </c>
    </row>
    <row r="12" spans="1:12" ht="15.75" customHeight="1" x14ac:dyDescent="0.25">
      <c r="A12" s="420"/>
      <c r="B12" s="888"/>
      <c r="C12" s="422" t="s">
        <v>1593</v>
      </c>
      <c r="D12" s="415"/>
      <c r="E12" s="415"/>
      <c r="F12" s="415"/>
      <c r="G12" s="411">
        <v>215</v>
      </c>
      <c r="H12" s="482"/>
      <c r="I12" s="471"/>
      <c r="L12" s="938">
        <f>SUM(L10:L11)</f>
        <v>27480</v>
      </c>
    </row>
    <row r="13" spans="1:12" ht="13.8" x14ac:dyDescent="0.3">
      <c r="A13" s="420"/>
      <c r="B13" s="891"/>
      <c r="D13" s="844"/>
      <c r="E13" s="874"/>
      <c r="F13" s="408"/>
      <c r="G13" s="462"/>
      <c r="H13" s="482"/>
      <c r="I13" s="471"/>
    </row>
    <row r="14" spans="1:12" ht="15" customHeight="1" x14ac:dyDescent="0.3">
      <c r="A14" s="420"/>
      <c r="B14" s="854"/>
      <c r="C14" s="431"/>
      <c r="D14" s="434"/>
      <c r="E14" s="433"/>
      <c r="F14" s="433"/>
      <c r="G14" s="480">
        <f>SUM(G10:G13)</f>
        <v>12405</v>
      </c>
      <c r="H14" s="482"/>
      <c r="I14" s="471"/>
    </row>
    <row r="15" spans="1:12" ht="15" customHeight="1" x14ac:dyDescent="0.3">
      <c r="A15" s="420"/>
      <c r="B15" s="854"/>
      <c r="C15" s="415"/>
      <c r="D15" s="415"/>
      <c r="E15" s="415"/>
      <c r="F15" s="415"/>
      <c r="G15" s="437"/>
      <c r="H15" s="482">
        <f>+G14</f>
        <v>12405</v>
      </c>
      <c r="I15" s="472"/>
    </row>
    <row r="16" spans="1:12" ht="15" customHeight="1" x14ac:dyDescent="0.25">
      <c r="A16" s="420"/>
      <c r="B16" s="653"/>
      <c r="C16" s="435"/>
      <c r="D16" s="436"/>
      <c r="E16" s="415"/>
      <c r="F16" s="444"/>
      <c r="G16" s="437"/>
      <c r="H16" s="484"/>
      <c r="I16" s="534"/>
      <c r="K16" s="416" t="s">
        <v>1606</v>
      </c>
    </row>
    <row r="17" spans="1:13" ht="15" customHeight="1" x14ac:dyDescent="0.25">
      <c r="A17" s="420"/>
      <c r="B17" s="435" t="s">
        <v>501</v>
      </c>
      <c r="C17" s="415"/>
      <c r="D17" s="415"/>
      <c r="E17" s="428"/>
      <c r="F17" s="428"/>
      <c r="G17" s="424"/>
      <c r="H17" s="485">
        <f>SUM(H5:H15)</f>
        <v>411474</v>
      </c>
      <c r="I17" s="472"/>
      <c r="K17" t="s">
        <v>1607</v>
      </c>
    </row>
    <row r="18" spans="1:13" ht="15" customHeight="1" x14ac:dyDescent="0.25">
      <c r="A18" s="420" t="s">
        <v>1275</v>
      </c>
      <c r="B18" s="590" t="s">
        <v>1468</v>
      </c>
      <c r="C18" s="415"/>
      <c r="D18" s="415"/>
      <c r="E18" s="415"/>
      <c r="F18" s="415"/>
      <c r="G18" s="415"/>
      <c r="H18" s="482"/>
      <c r="I18" s="471"/>
      <c r="K18" s="416" t="s">
        <v>1608</v>
      </c>
    </row>
    <row r="19" spans="1:13" ht="15" customHeight="1" x14ac:dyDescent="0.25">
      <c r="A19" s="420"/>
      <c r="B19" s="680"/>
      <c r="C19" s="449" t="s">
        <v>1483</v>
      </c>
      <c r="D19" s="415"/>
      <c r="E19" s="415"/>
      <c r="F19" s="415"/>
      <c r="G19" s="423"/>
      <c r="H19" s="482"/>
      <c r="I19" s="471"/>
    </row>
    <row r="20" spans="1:13" ht="15" customHeight="1" x14ac:dyDescent="0.25">
      <c r="A20" s="420"/>
      <c r="B20" s="680"/>
      <c r="C20" s="697" t="s">
        <v>1599</v>
      </c>
      <c r="D20" s="415"/>
      <c r="E20" s="415"/>
      <c r="F20" s="411">
        <v>34432</v>
      </c>
      <c r="G20" s="423"/>
      <c r="H20" s="482"/>
      <c r="I20" s="471"/>
    </row>
    <row r="21" spans="1:13" ht="15" customHeight="1" x14ac:dyDescent="0.25">
      <c r="A21" s="420"/>
      <c r="B21" s="680"/>
      <c r="C21" s="697" t="s">
        <v>1598</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1578</v>
      </c>
      <c r="D24" s="415"/>
      <c r="E24" s="415" t="s">
        <v>1149</v>
      </c>
      <c r="F24" s="681">
        <v>31419</v>
      </c>
      <c r="G24" s="411">
        <f>F23+F24</f>
        <v>116211</v>
      </c>
      <c r="H24" s="482"/>
      <c r="I24" s="471"/>
    </row>
    <row r="25" spans="1:13" ht="15" customHeight="1" x14ac:dyDescent="0.25">
      <c r="A25" s="420"/>
      <c r="B25" s="680"/>
      <c r="C25" s="449" t="s">
        <v>1580</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261844</v>
      </c>
      <c r="F28" s="453" t="s">
        <v>1561</v>
      </c>
      <c r="G28" s="440"/>
      <c r="H28" s="486">
        <f>ROUND((E28/10),0)*10</f>
        <v>261840</v>
      </c>
      <c r="I28" s="475"/>
      <c r="L28" s="685"/>
      <c r="M28" s="685"/>
    </row>
    <row r="29" spans="1:13" ht="21.75" customHeight="1" thickTop="1" x14ac:dyDescent="0.25">
      <c r="A29" s="420"/>
      <c r="B29" s="449" t="s">
        <v>778</v>
      </c>
      <c r="C29" s="415"/>
      <c r="D29" s="415"/>
      <c r="E29" s="914" t="s">
        <v>521</v>
      </c>
      <c r="F29" s="915"/>
      <c r="G29" s="914" t="s">
        <v>524</v>
      </c>
      <c r="H29" s="934">
        <f>+G30</f>
        <v>592</v>
      </c>
      <c r="I29" s="471"/>
      <c r="L29" s="685"/>
    </row>
    <row r="30" spans="1:13" ht="15" hidden="1" customHeight="1" x14ac:dyDescent="0.25">
      <c r="A30" s="420"/>
      <c r="B30" s="895">
        <v>21568</v>
      </c>
      <c r="C30" s="467"/>
      <c r="D30" s="408" t="s">
        <v>1534</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29"/>
      <c r="I30" s="471"/>
      <c r="L30" s="685"/>
    </row>
    <row r="31" spans="1:13" ht="15" hidden="1" customHeight="1" x14ac:dyDescent="0.25">
      <c r="A31" s="420"/>
      <c r="B31" s="877"/>
      <c r="C31" s="467"/>
      <c r="D31" s="408" t="s">
        <v>1522</v>
      </c>
      <c r="E31" s="455"/>
      <c r="F31" s="678"/>
      <c r="G31" s="415">
        <f>ROUND(E31*F31,0)</f>
        <v>0</v>
      </c>
      <c r="H31" s="929"/>
      <c r="I31" s="471"/>
      <c r="L31" s="685"/>
    </row>
    <row r="32" spans="1:13" ht="18.75" customHeight="1" x14ac:dyDescent="0.25">
      <c r="A32" s="420"/>
      <c r="B32" s="928" t="s">
        <v>1594</v>
      </c>
      <c r="D32" s="408"/>
      <c r="E32" s="749"/>
      <c r="F32" s="678"/>
      <c r="H32" s="930">
        <f>IF(H28&gt;350000,0,IF(G30&gt;2500,2500,G30))</f>
        <v>592</v>
      </c>
      <c r="I32" s="473"/>
      <c r="L32" s="685"/>
    </row>
    <row r="33" spans="1:12" ht="15" hidden="1" customHeight="1" x14ac:dyDescent="0.25">
      <c r="A33" s="420"/>
      <c r="B33" s="601" t="s">
        <v>1523</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1558</v>
      </c>
      <c r="C35" s="415"/>
      <c r="D35" s="456"/>
      <c r="E35" s="428"/>
      <c r="F35" s="415"/>
      <c r="G35" s="428"/>
      <c r="H35" s="932">
        <v>0</v>
      </c>
      <c r="I35" s="472"/>
      <c r="L35" s="685"/>
    </row>
    <row r="36" spans="1:12" ht="15" customHeight="1" x14ac:dyDescent="0.25">
      <c r="B36" s="408" t="s">
        <v>1595</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1596</v>
      </c>
      <c r="C38" s="415"/>
      <c r="D38" s="456"/>
      <c r="E38" s="458"/>
      <c r="F38" s="415"/>
      <c r="G38" s="428"/>
      <c r="H38" s="933">
        <f>1844+1019</f>
        <v>2863</v>
      </c>
      <c r="I38" s="927"/>
      <c r="L38" s="685"/>
    </row>
    <row r="39" spans="1:12" ht="18" customHeight="1" thickBot="1" x14ac:dyDescent="0.3">
      <c r="A39" s="897"/>
      <c r="B39" s="898" t="s">
        <v>1597</v>
      </c>
      <c r="C39" s="899"/>
      <c r="D39" s="900"/>
      <c r="E39" s="901"/>
      <c r="F39" s="907" t="s">
        <v>1562</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76">
        <f ca="1">TODAY()</f>
        <v>44617</v>
      </c>
      <c r="B41" s="1376"/>
      <c r="E41" s="554"/>
      <c r="F41" s="554"/>
      <c r="G41" s="554"/>
      <c r="H41" s="860" t="s">
        <v>1485</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A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40"/>
  <sheetViews>
    <sheetView showZeros="0" zoomScale="130" zoomScaleNormal="130" zoomScaleSheetLayoutView="110" workbookViewId="0">
      <selection activeCell="K12" sqref="K12"/>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73" t="s">
        <v>1545</v>
      </c>
      <c r="B1" s="1374"/>
      <c r="C1" s="1374"/>
      <c r="D1" s="1374"/>
      <c r="E1" s="1374"/>
      <c r="F1" s="1374"/>
      <c r="G1" s="1374"/>
      <c r="H1" s="1374"/>
      <c r="I1" s="1375"/>
    </row>
    <row r="2" spans="1:13" ht="18" customHeight="1" thickBot="1" x14ac:dyDescent="0.3">
      <c r="A2" s="1336" t="s">
        <v>562</v>
      </c>
      <c r="B2" s="1337"/>
      <c r="C2" s="1337"/>
      <c r="D2" s="1337"/>
      <c r="E2" s="1337"/>
      <c r="F2" s="1337"/>
      <c r="G2" s="1337"/>
      <c r="H2" s="1337"/>
      <c r="I2" s="1338"/>
      <c r="K2" s="845" t="s">
        <v>1133</v>
      </c>
    </row>
    <row r="3" spans="1:13" ht="20.100000000000001" customHeight="1" x14ac:dyDescent="0.25">
      <c r="A3" s="417"/>
      <c r="B3" s="850" t="s">
        <v>1463</v>
      </c>
      <c r="C3" s="419"/>
      <c r="D3" s="419"/>
      <c r="E3" s="419"/>
      <c r="F3" s="419"/>
      <c r="G3" s="419"/>
      <c r="H3" s="501" t="s">
        <v>1013</v>
      </c>
      <c r="I3" s="470"/>
      <c r="K3" s="416" t="s">
        <v>1546</v>
      </c>
      <c r="L3" s="416">
        <v>489600</v>
      </c>
    </row>
    <row r="4" spans="1:13" ht="15" customHeight="1" x14ac:dyDescent="0.25">
      <c r="A4" s="420"/>
      <c r="B4" s="435"/>
      <c r="C4" s="422" t="s">
        <v>567</v>
      </c>
      <c r="D4" s="422"/>
      <c r="E4" s="431"/>
      <c r="F4" s="423"/>
      <c r="G4" s="411">
        <f>+L7</f>
        <v>692800</v>
      </c>
      <c r="H4" s="482"/>
      <c r="I4" s="471"/>
      <c r="K4" s="416" t="s">
        <v>1563</v>
      </c>
      <c r="L4" s="416">
        <v>42512</v>
      </c>
    </row>
    <row r="5" spans="1:13" ht="15" customHeight="1" x14ac:dyDescent="0.25">
      <c r="A5" s="420"/>
      <c r="B5" s="408"/>
      <c r="C5" s="672" t="s">
        <v>1560</v>
      </c>
      <c r="D5" s="415"/>
      <c r="E5" s="415"/>
      <c r="F5" s="415"/>
      <c r="G5" s="906">
        <v>40000</v>
      </c>
      <c r="H5" s="482">
        <f>G4-G5</f>
        <v>652800</v>
      </c>
      <c r="I5" s="472"/>
      <c r="K5" s="416" t="s">
        <v>1547</v>
      </c>
      <c r="L5" s="416">
        <v>117504</v>
      </c>
    </row>
    <row r="6" spans="1:13" ht="15" customHeight="1" x14ac:dyDescent="0.25">
      <c r="A6" s="420"/>
      <c r="B6" s="851" t="s">
        <v>1464</v>
      </c>
      <c r="C6" s="415"/>
      <c r="D6" s="415"/>
      <c r="E6" s="905" t="s">
        <v>1556</v>
      </c>
      <c r="F6" s="423"/>
      <c r="G6" s="415"/>
      <c r="H6" s="482"/>
      <c r="I6" s="472"/>
      <c r="K6" s="416" t="s">
        <v>1548</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1462</v>
      </c>
      <c r="D8" s="415"/>
      <c r="E8" s="854" t="s">
        <v>1557</v>
      </c>
      <c r="F8" s="875"/>
      <c r="G8" s="523">
        <v>205000</v>
      </c>
      <c r="H8" s="482">
        <f>0-G8+5000</f>
        <v>-200000</v>
      </c>
      <c r="I8" s="472"/>
      <c r="K8" s="416" t="s">
        <v>1549</v>
      </c>
      <c r="L8" s="681">
        <v>40000</v>
      </c>
      <c r="M8" s="416">
        <f>L7-L8</f>
        <v>652800</v>
      </c>
    </row>
    <row r="9" spans="1:13" ht="20.100000000000001" customHeight="1" x14ac:dyDescent="0.25">
      <c r="A9" s="420"/>
      <c r="B9" s="435" t="s">
        <v>1467</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1551</v>
      </c>
      <c r="D11" s="415"/>
      <c r="E11" s="415"/>
      <c r="F11" s="415"/>
      <c r="G11" s="411">
        <v>3000</v>
      </c>
      <c r="H11" s="482"/>
      <c r="I11" s="471"/>
    </row>
    <row r="12" spans="1:13" ht="15.75" customHeight="1" x14ac:dyDescent="0.3">
      <c r="A12" s="420"/>
      <c r="B12" s="853"/>
      <c r="C12" s="422" t="s">
        <v>1550</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459800</v>
      </c>
      <c r="I17" s="472"/>
    </row>
    <row r="18" spans="1:13" ht="15" customHeight="1" x14ac:dyDescent="0.25">
      <c r="A18" s="420" t="s">
        <v>1275</v>
      </c>
      <c r="B18" s="590" t="s">
        <v>1468</v>
      </c>
      <c r="C18" s="415"/>
      <c r="D18" s="415"/>
      <c r="E18" s="415"/>
      <c r="F18" s="415"/>
      <c r="G18" s="415"/>
      <c r="H18" s="482"/>
      <c r="I18" s="471"/>
    </row>
    <row r="19" spans="1:13" ht="15" customHeight="1" x14ac:dyDescent="0.25">
      <c r="A19" s="420"/>
      <c r="B19" s="680"/>
      <c r="C19" s="435" t="s">
        <v>1483</v>
      </c>
      <c r="D19" s="415"/>
      <c r="E19" s="415"/>
      <c r="F19" s="415"/>
      <c r="G19" s="423"/>
      <c r="H19" s="482"/>
      <c r="I19" s="471"/>
    </row>
    <row r="20" spans="1:13" ht="15" customHeight="1" x14ac:dyDescent="0.25">
      <c r="A20" s="420"/>
      <c r="B20" s="680"/>
      <c r="C20" s="408" t="s">
        <v>1552</v>
      </c>
      <c r="D20" s="415"/>
      <c r="E20" s="415"/>
      <c r="F20" s="411">
        <v>56400</v>
      </c>
      <c r="G20" s="423"/>
      <c r="H20" s="482"/>
      <c r="I20" s="471"/>
    </row>
    <row r="21" spans="1:13" ht="15" customHeight="1" x14ac:dyDescent="0.25">
      <c r="A21" s="420"/>
      <c r="B21" s="680"/>
      <c r="C21" s="408" t="s">
        <v>1553</v>
      </c>
      <c r="D21" s="415"/>
      <c r="E21" s="415"/>
      <c r="F21" s="411">
        <v>6000</v>
      </c>
      <c r="G21" s="423"/>
      <c r="H21" s="482"/>
      <c r="I21" s="471"/>
    </row>
    <row r="22" spans="1:13" ht="15" customHeight="1" x14ac:dyDescent="0.25">
      <c r="A22" s="420"/>
      <c r="B22" s="680"/>
      <c r="C22" s="408" t="s">
        <v>1554</v>
      </c>
      <c r="D22" s="415"/>
      <c r="E22" s="415"/>
      <c r="F22" s="411">
        <v>10500</v>
      </c>
      <c r="G22" s="423"/>
      <c r="H22" s="482"/>
      <c r="I22" s="471"/>
    </row>
    <row r="23" spans="1:13" ht="15" customHeight="1" x14ac:dyDescent="0.25">
      <c r="A23" s="420"/>
      <c r="B23" s="680"/>
      <c r="C23" s="408" t="s">
        <v>1555</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452">
        <f>IF((H17-H27)&lt;0,0,(H17-H27))</f>
        <v>309800</v>
      </c>
      <c r="F28" s="453" t="s">
        <v>1561</v>
      </c>
      <c r="G28" s="440"/>
      <c r="H28" s="486">
        <f>ROUND((E28/10),0)*10</f>
        <v>309800</v>
      </c>
      <c r="I28" s="475"/>
      <c r="L28" s="685"/>
      <c r="M28" s="685"/>
    </row>
    <row r="29" spans="1:13" ht="21.75" customHeight="1" thickTop="1" x14ac:dyDescent="0.25">
      <c r="A29" s="420"/>
      <c r="B29" s="449" t="s">
        <v>778</v>
      </c>
      <c r="C29" s="415"/>
      <c r="D29" s="415"/>
      <c r="E29" s="914" t="s">
        <v>521</v>
      </c>
      <c r="F29" s="915"/>
      <c r="G29" s="914" t="s">
        <v>524</v>
      </c>
      <c r="H29" s="896">
        <f>+G30</f>
        <v>2990</v>
      </c>
      <c r="I29" s="471"/>
    </row>
    <row r="30" spans="1:13" ht="15" hidden="1" customHeight="1" x14ac:dyDescent="0.25">
      <c r="A30" s="420"/>
      <c r="B30" s="895">
        <v>21568</v>
      </c>
      <c r="C30" s="467"/>
      <c r="D30" s="408" t="s">
        <v>1534</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x14ac:dyDescent="0.25">
      <c r="A31" s="420"/>
      <c r="B31" s="877"/>
      <c r="C31" s="467"/>
      <c r="D31" s="408" t="s">
        <v>1522</v>
      </c>
      <c r="E31" s="455"/>
      <c r="F31" s="678"/>
      <c r="G31" s="415">
        <f>ROUND(E31*F31,0)</f>
        <v>0</v>
      </c>
      <c r="H31" s="487"/>
      <c r="I31" s="471"/>
    </row>
    <row r="32" spans="1:13" ht="18.75" customHeight="1" x14ac:dyDescent="0.25">
      <c r="A32" s="420"/>
      <c r="B32" s="912" t="s">
        <v>1564</v>
      </c>
      <c r="D32" s="408"/>
      <c r="E32" s="749"/>
      <c r="F32" s="678"/>
      <c r="H32" s="528">
        <f>IF(H28&gt;350000,0,IF(G30&gt;2500,2500,G30))</f>
        <v>2500</v>
      </c>
      <c r="I32" s="473"/>
    </row>
    <row r="33" spans="1:13" ht="15" hidden="1" customHeight="1" x14ac:dyDescent="0.25">
      <c r="A33" s="420"/>
      <c r="B33" s="601" t="s">
        <v>1523</v>
      </c>
      <c r="C33" s="524"/>
      <c r="D33" s="678"/>
      <c r="E33" s="749"/>
      <c r="G33" s="538"/>
      <c r="H33" s="696"/>
      <c r="I33" s="473"/>
    </row>
    <row r="34" spans="1:13" ht="15" customHeight="1" x14ac:dyDescent="0.25">
      <c r="A34" s="420"/>
      <c r="B34" s="449" t="s">
        <v>1243</v>
      </c>
      <c r="C34" s="524"/>
      <c r="D34" s="415"/>
      <c r="E34" s="749"/>
      <c r="F34" s="750"/>
      <c r="G34" s="526"/>
      <c r="H34" s="489">
        <f>H29-H32</f>
        <v>490</v>
      </c>
      <c r="I34" s="472"/>
      <c r="L34" s="685"/>
    </row>
    <row r="35" spans="1:13" ht="15" customHeight="1" x14ac:dyDescent="0.25">
      <c r="A35" s="420"/>
      <c r="B35" s="408" t="s">
        <v>1558</v>
      </c>
      <c r="C35" s="415"/>
      <c r="D35" s="456"/>
      <c r="E35" s="428"/>
      <c r="F35" s="415"/>
      <c r="G35" s="428"/>
      <c r="H35" s="489">
        <f>H34*0.03</f>
        <v>14.7</v>
      </c>
      <c r="I35" s="472"/>
    </row>
    <row r="36" spans="1:13" ht="15" customHeight="1" x14ac:dyDescent="0.25">
      <c r="A36" s="908"/>
      <c r="B36" s="683" t="s">
        <v>1559</v>
      </c>
      <c r="C36" s="681"/>
      <c r="D36" s="909"/>
      <c r="E36" s="910"/>
      <c r="F36" s="681"/>
      <c r="G36" s="911"/>
      <c r="H36" s="528">
        <f>ROUND((H34)*0.01,0)</f>
        <v>5</v>
      </c>
      <c r="I36" s="474"/>
    </row>
    <row r="37" spans="1:13" ht="18" customHeight="1" thickBot="1" x14ac:dyDescent="0.3">
      <c r="A37" s="897"/>
      <c r="B37" s="898" t="s">
        <v>565</v>
      </c>
      <c r="C37" s="899"/>
      <c r="D37" s="900"/>
      <c r="E37" s="901"/>
      <c r="F37" s="907" t="s">
        <v>1562</v>
      </c>
      <c r="G37" s="902"/>
      <c r="H37" s="903">
        <f>SUM(H34:H36)</f>
        <v>509.7</v>
      </c>
      <c r="I37" s="904"/>
      <c r="M37" s="685"/>
    </row>
    <row r="38" spans="1:13" ht="18" hidden="1" customHeight="1" thickTop="1" x14ac:dyDescent="0.25">
      <c r="A38" s="804"/>
      <c r="B38" s="888"/>
      <c r="C38" s="805"/>
      <c r="D38" s="748"/>
      <c r="E38" s="428"/>
      <c r="G38" s="887"/>
      <c r="H38" s="807"/>
      <c r="I38" s="806"/>
    </row>
    <row r="39" spans="1:13" ht="17.25" customHeight="1" thickTop="1" x14ac:dyDescent="0.25">
      <c r="A39" s="1376">
        <f ca="1">TODAY()</f>
        <v>44617</v>
      </c>
      <c r="B39" s="1376"/>
      <c r="E39" s="554"/>
      <c r="F39" s="554"/>
      <c r="G39" s="554"/>
      <c r="H39" s="860" t="s">
        <v>1485</v>
      </c>
      <c r="J39" s="554"/>
    </row>
    <row r="40" spans="1:13" x14ac:dyDescent="0.25">
      <c r="A40" s="567"/>
      <c r="B40" s="917"/>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B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3"/>
  <sheetViews>
    <sheetView showZeros="0" topLeftCell="A34" zoomScale="120" workbookViewId="0">
      <selection activeCell="J10" sqref="J10"/>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22.6640625" style="416" customWidth="1"/>
    <col min="12" max="12" width="10.44140625" style="416" customWidth="1"/>
    <col min="13" max="13" width="17.6640625" style="416" customWidth="1"/>
    <col min="14" max="14" width="10.88671875" style="416" customWidth="1"/>
    <col min="15" max="16384" width="9.109375" style="416"/>
  </cols>
  <sheetData>
    <row r="1" spans="1:14" s="413" customFormat="1" ht="18.75" customHeight="1" x14ac:dyDescent="0.25">
      <c r="A1" s="1333" t="s">
        <v>1482</v>
      </c>
      <c r="B1" s="1334"/>
      <c r="C1" s="1334"/>
      <c r="D1" s="1334"/>
      <c r="E1" s="1334"/>
      <c r="F1" s="1334"/>
      <c r="G1" s="1334"/>
      <c r="H1" s="1334"/>
      <c r="I1" s="1335"/>
      <c r="K1" s="1377" t="s">
        <v>1263</v>
      </c>
      <c r="L1" s="1377"/>
      <c r="M1" s="1377"/>
      <c r="N1" s="1377"/>
    </row>
    <row r="2" spans="1:14" ht="18" customHeight="1" thickBot="1" x14ac:dyDescent="0.3">
      <c r="A2" s="1336" t="s">
        <v>562</v>
      </c>
      <c r="B2" s="1337"/>
      <c r="C2" s="1337"/>
      <c r="D2" s="1337"/>
      <c r="E2" s="1337"/>
      <c r="F2" s="1337"/>
      <c r="G2" s="1337"/>
      <c r="H2" s="1337"/>
      <c r="I2" s="1338"/>
      <c r="K2" s="416" t="s">
        <v>1254</v>
      </c>
      <c r="L2" s="416">
        <v>90000</v>
      </c>
      <c r="M2" s="416" t="s">
        <v>1261</v>
      </c>
      <c r="N2" s="416">
        <v>9500000</v>
      </c>
    </row>
    <row r="3" spans="1:14" ht="20.100000000000001" customHeight="1" x14ac:dyDescent="0.25">
      <c r="A3" s="417"/>
      <c r="B3" s="418" t="s">
        <v>994</v>
      </c>
      <c r="C3" s="419"/>
      <c r="D3" s="419"/>
      <c r="E3" s="419"/>
      <c r="F3" s="419"/>
      <c r="G3" s="419"/>
      <c r="H3" s="501" t="s">
        <v>1013</v>
      </c>
      <c r="I3" s="470"/>
      <c r="K3" s="416" t="s">
        <v>1255</v>
      </c>
      <c r="L3" s="416">
        <v>8600000</v>
      </c>
      <c r="M3" s="416" t="s">
        <v>1373</v>
      </c>
      <c r="N3" s="416">
        <v>208000</v>
      </c>
    </row>
    <row r="4" spans="1:14" ht="15" customHeight="1" x14ac:dyDescent="0.25">
      <c r="A4" s="420"/>
      <c r="B4" s="421"/>
      <c r="C4" s="422" t="s">
        <v>567</v>
      </c>
      <c r="D4" s="422"/>
      <c r="E4" s="431"/>
      <c r="F4" s="423"/>
      <c r="G4" s="411"/>
      <c r="H4" s="482"/>
      <c r="I4" s="471"/>
      <c r="K4" s="416" t="s">
        <v>1256</v>
      </c>
      <c r="L4" s="416">
        <v>790000</v>
      </c>
    </row>
    <row r="5" spans="1:14" ht="15" customHeight="1" x14ac:dyDescent="0.25">
      <c r="A5" s="420"/>
      <c r="B5" s="415"/>
      <c r="C5" s="408" t="s">
        <v>848</v>
      </c>
      <c r="D5" s="415"/>
      <c r="E5" s="415"/>
      <c r="F5" s="415"/>
      <c r="G5" s="523"/>
      <c r="H5" s="482">
        <f>SUM(G4:G5)</f>
        <v>0</v>
      </c>
      <c r="I5" s="472"/>
      <c r="K5" s="416" t="s">
        <v>1257</v>
      </c>
      <c r="L5" s="416">
        <v>40000</v>
      </c>
    </row>
    <row r="6" spans="1:14" ht="15" customHeight="1" x14ac:dyDescent="0.25">
      <c r="A6" s="420"/>
      <c r="B6" s="426" t="s">
        <v>995</v>
      </c>
      <c r="C6" s="415"/>
      <c r="D6" s="415"/>
      <c r="E6" s="525" t="s">
        <v>1014</v>
      </c>
      <c r="F6" s="423"/>
      <c r="G6" s="415"/>
      <c r="H6" s="482"/>
      <c r="I6" s="472"/>
      <c r="K6" s="416" t="s">
        <v>1259</v>
      </c>
      <c r="L6" s="711">
        <f>96000+15000</f>
        <v>111000</v>
      </c>
    </row>
    <row r="7" spans="1:14" ht="15" customHeight="1" x14ac:dyDescent="0.25">
      <c r="A7" s="420"/>
      <c r="B7" s="426"/>
      <c r="C7" s="583" t="s">
        <v>1164</v>
      </c>
      <c r="D7" s="422"/>
      <c r="E7" s="672"/>
      <c r="F7" s="679"/>
      <c r="G7" s="411"/>
      <c r="H7" s="482"/>
      <c r="I7" s="472"/>
      <c r="K7" s="416" t="s">
        <v>1258</v>
      </c>
      <c r="L7" s="416">
        <v>18000</v>
      </c>
    </row>
    <row r="8" spans="1:14" ht="15" customHeight="1" x14ac:dyDescent="0.25">
      <c r="A8" s="420"/>
      <c r="B8" s="426"/>
      <c r="C8" s="408" t="s">
        <v>769</v>
      </c>
      <c r="D8" s="415"/>
      <c r="E8" s="408" t="s">
        <v>1250</v>
      </c>
      <c r="F8" s="701"/>
      <c r="G8" s="479"/>
      <c r="H8" s="482"/>
      <c r="I8" s="472"/>
      <c r="K8" s="416" t="s">
        <v>1260</v>
      </c>
      <c r="L8" s="681">
        <v>32500</v>
      </c>
    </row>
    <row r="9" spans="1:14" ht="15" customHeight="1" x14ac:dyDescent="0.25">
      <c r="A9" s="420"/>
      <c r="B9" s="426"/>
      <c r="C9" s="408"/>
      <c r="D9" s="415"/>
      <c r="E9" s="408"/>
      <c r="F9" s="415"/>
      <c r="G9" s="423">
        <f>IF((G7-G8)&lt;0,0,(G7-G8))</f>
        <v>0</v>
      </c>
      <c r="H9" s="482"/>
      <c r="I9" s="472"/>
      <c r="L9" s="690">
        <f>SUM(L2:L8)</f>
        <v>9681500</v>
      </c>
    </row>
    <row r="10" spans="1:14" ht="15" customHeight="1" x14ac:dyDescent="0.25">
      <c r="A10" s="420"/>
      <c r="B10" s="426"/>
      <c r="C10" s="590" t="s">
        <v>514</v>
      </c>
      <c r="D10" s="415"/>
      <c r="E10" s="408" t="s">
        <v>1093</v>
      </c>
      <c r="F10" s="415">
        <f>G9*0.3</f>
        <v>0</v>
      </c>
      <c r="G10" s="423"/>
      <c r="H10" s="482"/>
      <c r="I10" s="472"/>
      <c r="K10" s="682" t="s">
        <v>1262</v>
      </c>
      <c r="L10" s="416">
        <f>L11-L9</f>
        <v>26500</v>
      </c>
    </row>
    <row r="11" spans="1:14" ht="15" customHeight="1" thickBot="1" x14ac:dyDescent="0.35">
      <c r="A11" s="420"/>
      <c r="B11" s="426"/>
      <c r="D11" s="415"/>
      <c r="E11" s="434" t="s">
        <v>1094</v>
      </c>
      <c r="F11" s="681"/>
      <c r="G11" s="592">
        <f>F10+F11</f>
        <v>0</v>
      </c>
      <c r="H11" s="482">
        <f>G9-G11</f>
        <v>0</v>
      </c>
      <c r="I11" s="472"/>
      <c r="K11" s="710"/>
      <c r="L11" s="710">
        <f>+N11</f>
        <v>9708000</v>
      </c>
      <c r="M11" s="710"/>
      <c r="N11" s="710">
        <f>SUM(N2:N9)</f>
        <v>9708000</v>
      </c>
    </row>
    <row r="12" spans="1:14" ht="15" customHeight="1" thickTop="1" x14ac:dyDescent="0.25">
      <c r="A12" s="420"/>
      <c r="B12" s="421" t="s">
        <v>996</v>
      </c>
      <c r="C12" s="408"/>
      <c r="D12" s="415"/>
      <c r="E12" s="429"/>
      <c r="F12" s="415"/>
      <c r="G12" s="415"/>
      <c r="H12" s="482"/>
      <c r="I12" s="472"/>
      <c r="K12" s="746" t="s">
        <v>1264</v>
      </c>
      <c r="L12" s="746"/>
      <c r="M12" s="746"/>
      <c r="N12" s="746"/>
    </row>
    <row r="13" spans="1:14" ht="15" customHeight="1" x14ac:dyDescent="0.25">
      <c r="A13" s="420"/>
      <c r="B13" s="415"/>
      <c r="C13" s="408"/>
      <c r="D13" s="415"/>
      <c r="E13" s="698"/>
      <c r="F13" s="415">
        <f>G12*0.3</f>
        <v>0</v>
      </c>
      <c r="G13" s="699"/>
      <c r="H13" s="482"/>
      <c r="I13" s="472"/>
      <c r="K13" s="416" t="s">
        <v>1363</v>
      </c>
    </row>
    <row r="14" spans="1:14" ht="15" customHeight="1" x14ac:dyDescent="0.25">
      <c r="A14" s="420"/>
      <c r="B14" s="415"/>
      <c r="C14" s="408" t="s">
        <v>1294</v>
      </c>
      <c r="D14" s="415"/>
      <c r="E14" s="429"/>
      <c r="F14" s="415"/>
      <c r="G14" s="479"/>
      <c r="H14" s="483">
        <f>+L25</f>
        <v>168075</v>
      </c>
      <c r="I14" s="472"/>
      <c r="K14" s="416" t="s">
        <v>1265</v>
      </c>
      <c r="L14" s="711">
        <f>96000+15000</f>
        <v>111000</v>
      </c>
    </row>
    <row r="15" spans="1:14" ht="15" customHeight="1" x14ac:dyDescent="0.25">
      <c r="A15" s="420"/>
      <c r="B15" s="421" t="s">
        <v>997</v>
      </c>
      <c r="C15" s="415"/>
      <c r="D15" s="415"/>
      <c r="E15" s="415"/>
      <c r="F15" s="415"/>
      <c r="G15" s="415"/>
      <c r="H15" s="482"/>
      <c r="I15" s="472"/>
      <c r="L15" s="712"/>
    </row>
    <row r="16" spans="1:14" x14ac:dyDescent="0.25">
      <c r="A16" s="420"/>
      <c r="B16" s="415"/>
      <c r="C16" s="408" t="s">
        <v>498</v>
      </c>
      <c r="E16" s="408"/>
      <c r="F16" s="415"/>
      <c r="G16" s="699"/>
      <c r="H16" s="482"/>
      <c r="I16" s="472"/>
      <c r="K16" s="416" t="s">
        <v>1266</v>
      </c>
    </row>
    <row r="17" spans="1:14" x14ac:dyDescent="0.25">
      <c r="A17" s="420"/>
      <c r="B17" s="700"/>
      <c r="C17" s="408" t="s">
        <v>77</v>
      </c>
      <c r="D17" s="408"/>
      <c r="E17" s="408"/>
      <c r="F17" s="415"/>
      <c r="G17" s="479"/>
      <c r="H17" s="482">
        <f>G16+G17</f>
        <v>0</v>
      </c>
      <c r="I17" s="472"/>
      <c r="K17" s="416" t="s">
        <v>1267</v>
      </c>
      <c r="L17" s="714">
        <v>25000</v>
      </c>
    </row>
    <row r="18" spans="1:14" ht="20.100000000000001" customHeight="1" x14ac:dyDescent="0.25">
      <c r="A18" s="420"/>
      <c r="B18" s="421" t="s">
        <v>998</v>
      </c>
      <c r="C18" s="415"/>
      <c r="D18" s="415"/>
      <c r="E18" s="415"/>
      <c r="F18" s="415"/>
      <c r="G18" s="415"/>
      <c r="H18" s="482"/>
      <c r="I18" s="471"/>
      <c r="K18" s="713" t="s">
        <v>1268</v>
      </c>
    </row>
    <row r="19" spans="1:14" x14ac:dyDescent="0.25">
      <c r="A19" s="420"/>
      <c r="B19" s="636"/>
      <c r="C19" s="431" t="s">
        <v>1247</v>
      </c>
      <c r="D19" s="431"/>
      <c r="E19" s="431"/>
      <c r="F19" s="415"/>
      <c r="G19" s="411">
        <v>25000</v>
      </c>
      <c r="H19" s="482"/>
      <c r="I19" s="471"/>
      <c r="K19" s="1378" t="s">
        <v>1269</v>
      </c>
      <c r="L19" s="1378"/>
      <c r="M19" s="1378"/>
      <c r="N19" s="1378"/>
    </row>
    <row r="20" spans="1:14" x14ac:dyDescent="0.25">
      <c r="A20" s="420"/>
      <c r="B20" s="636"/>
      <c r="C20" s="431" t="s">
        <v>1248</v>
      </c>
      <c r="D20" s="431"/>
      <c r="E20" s="422"/>
      <c r="G20" s="411">
        <v>100000</v>
      </c>
      <c r="H20" s="482"/>
      <c r="I20" s="471"/>
      <c r="K20" s="416" t="s">
        <v>1270</v>
      </c>
      <c r="L20" s="416">
        <f>+L10</f>
        <v>26500</v>
      </c>
    </row>
    <row r="21" spans="1:14" x14ac:dyDescent="0.25">
      <c r="A21" s="420"/>
      <c r="B21" s="589"/>
      <c r="C21" s="431" t="s">
        <v>1190</v>
      </c>
      <c r="E21" s="702">
        <v>42080</v>
      </c>
      <c r="F21" s="408"/>
      <c r="G21" s="462">
        <f>ROUND(76000*0.0868,0)</f>
        <v>6597</v>
      </c>
      <c r="H21" s="482"/>
      <c r="I21" s="471"/>
      <c r="K21" s="416" t="s">
        <v>1271</v>
      </c>
      <c r="L21" s="416">
        <f>+L8</f>
        <v>32500</v>
      </c>
    </row>
    <row r="22" spans="1:14" ht="15" customHeight="1" x14ac:dyDescent="0.3">
      <c r="A22" s="420"/>
      <c r="B22" s="589"/>
      <c r="C22" s="431"/>
      <c r="D22" s="434"/>
      <c r="E22" s="433"/>
      <c r="F22" s="433"/>
      <c r="G22" s="480">
        <f>SUM(G19:G21)</f>
        <v>131597</v>
      </c>
      <c r="H22" s="482"/>
      <c r="I22" s="471"/>
      <c r="K22" s="416" t="s">
        <v>1272</v>
      </c>
      <c r="L22" s="416">
        <f>+N41*-1</f>
        <v>-26925</v>
      </c>
    </row>
    <row r="23" spans="1:14" ht="15" customHeight="1" x14ac:dyDescent="0.25">
      <c r="A23" s="420"/>
      <c r="B23" s="589"/>
      <c r="C23" s="415"/>
      <c r="D23" s="415"/>
      <c r="E23" s="415"/>
      <c r="F23" s="415"/>
      <c r="G23" s="437"/>
      <c r="H23" s="482">
        <f>+G22</f>
        <v>131597</v>
      </c>
      <c r="I23" s="472"/>
      <c r="K23" s="416" t="s">
        <v>1276</v>
      </c>
      <c r="L23" s="416">
        <f>+L14+L15</f>
        <v>111000</v>
      </c>
    </row>
    <row r="24" spans="1:14" ht="15" customHeight="1" x14ac:dyDescent="0.25">
      <c r="A24" s="420"/>
      <c r="B24" s="428"/>
      <c r="C24" s="435"/>
      <c r="D24" s="436"/>
      <c r="E24" s="415"/>
      <c r="F24" s="444"/>
      <c r="G24" s="437"/>
      <c r="H24" s="484"/>
      <c r="I24" s="534"/>
      <c r="K24" s="416" t="s">
        <v>1371</v>
      </c>
      <c r="L24" s="416">
        <f>+L17</f>
        <v>25000</v>
      </c>
    </row>
    <row r="25" spans="1:14" ht="15" customHeight="1" x14ac:dyDescent="0.25">
      <c r="A25" s="420"/>
      <c r="B25" s="421" t="s">
        <v>501</v>
      </c>
      <c r="C25" s="415"/>
      <c r="D25" s="415"/>
      <c r="E25" s="428"/>
      <c r="F25" s="428"/>
      <c r="G25" s="424"/>
      <c r="H25" s="485">
        <f>SUM(H5:H23)</f>
        <v>299672</v>
      </c>
      <c r="I25" s="472"/>
      <c r="K25" s="416" t="s">
        <v>1277</v>
      </c>
      <c r="L25" s="716">
        <f>SUM(L20:L24)</f>
        <v>168075</v>
      </c>
    </row>
    <row r="26" spans="1:14" ht="15" customHeight="1" x14ac:dyDescent="0.25">
      <c r="A26" s="420" t="s">
        <v>1275</v>
      </c>
      <c r="B26" s="445" t="s">
        <v>999</v>
      </c>
      <c r="C26" s="415"/>
      <c r="D26" s="415"/>
      <c r="E26" s="415"/>
      <c r="F26" s="415"/>
      <c r="G26" s="415"/>
      <c r="H26" s="482"/>
      <c r="I26" s="471"/>
      <c r="K26" s="1379" t="s">
        <v>1279</v>
      </c>
      <c r="L26" s="1379"/>
      <c r="M26" s="1379"/>
      <c r="N26" s="1379"/>
    </row>
    <row r="27" spans="1:14" ht="15" customHeight="1" x14ac:dyDescent="0.25">
      <c r="A27" s="420"/>
      <c r="B27" s="446"/>
      <c r="C27" s="435" t="s">
        <v>1080</v>
      </c>
      <c r="D27" s="415"/>
      <c r="E27" s="415"/>
      <c r="F27" s="415"/>
      <c r="G27" s="423"/>
      <c r="H27" s="482"/>
      <c r="I27" s="471"/>
      <c r="K27" s="416" t="s">
        <v>1280</v>
      </c>
      <c r="M27" s="416" t="s">
        <v>1282</v>
      </c>
    </row>
    <row r="28" spans="1:14" ht="15" customHeight="1" x14ac:dyDescent="0.25">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x14ac:dyDescent="0.25">
      <c r="A29" s="420"/>
      <c r="B29" s="446"/>
      <c r="C29" s="431" t="s">
        <v>1190</v>
      </c>
      <c r="D29" s="415"/>
      <c r="E29" s="702">
        <v>42080</v>
      </c>
      <c r="F29" s="411">
        <v>6597</v>
      </c>
      <c r="G29" s="423"/>
      <c r="H29" s="482"/>
      <c r="I29" s="471"/>
      <c r="K29" s="416" t="s">
        <v>1282</v>
      </c>
      <c r="M29" s="416" t="s">
        <v>1285</v>
      </c>
      <c r="N29" s="416">
        <f>+L8*-1</f>
        <v>-32500</v>
      </c>
    </row>
    <row r="30" spans="1:14" ht="15" customHeight="1" x14ac:dyDescent="0.25">
      <c r="A30" s="420"/>
      <c r="B30" s="446"/>
      <c r="C30" s="431" t="s">
        <v>509</v>
      </c>
      <c r="D30" s="415"/>
      <c r="E30" s="415"/>
      <c r="F30" s="411">
        <v>94000</v>
      </c>
      <c r="G30" s="423"/>
      <c r="H30" s="482"/>
      <c r="I30" s="471"/>
      <c r="K30" s="416" t="s">
        <v>1283</v>
      </c>
      <c r="L30" s="416">
        <v>1510000</v>
      </c>
      <c r="M30" s="416" t="s">
        <v>1286</v>
      </c>
      <c r="N30" s="416">
        <v>22519000</v>
      </c>
    </row>
    <row r="31" spans="1:14" ht="15" customHeight="1" x14ac:dyDescent="0.25">
      <c r="A31" s="420"/>
      <c r="B31" s="446"/>
      <c r="C31" s="431"/>
      <c r="D31" s="415"/>
      <c r="E31" s="415"/>
      <c r="F31" s="448">
        <f>SUM(F28:F30)</f>
        <v>150597</v>
      </c>
      <c r="G31" s="415">
        <f>IF(F31&gt;150000,150000,F31)</f>
        <v>150000</v>
      </c>
      <c r="H31" s="482"/>
      <c r="I31" s="471"/>
      <c r="L31" s="709"/>
      <c r="M31" s="717" t="s">
        <v>1290</v>
      </c>
    </row>
    <row r="32" spans="1:14" ht="15" customHeight="1" x14ac:dyDescent="0.25">
      <c r="A32" s="420"/>
      <c r="B32" s="446"/>
      <c r="C32" s="449" t="s">
        <v>1249</v>
      </c>
      <c r="D32" s="415"/>
      <c r="E32" s="415"/>
      <c r="F32" s="415"/>
      <c r="G32" s="411">
        <v>50000</v>
      </c>
      <c r="H32" s="482"/>
      <c r="I32" s="471"/>
      <c r="M32" s="416" t="s">
        <v>1372</v>
      </c>
      <c r="N32" s="416">
        <v>208000</v>
      </c>
    </row>
    <row r="33" spans="1:14" ht="15" customHeight="1" x14ac:dyDescent="0.25">
      <c r="A33" s="420"/>
      <c r="B33" s="415"/>
      <c r="C33" s="449" t="s">
        <v>979</v>
      </c>
      <c r="D33" s="415"/>
      <c r="E33" s="428"/>
      <c r="F33" s="428"/>
      <c r="G33" s="447">
        <f>IF(G19&gt;10000, 10000, G19)</f>
        <v>10000</v>
      </c>
      <c r="H33" s="482"/>
      <c r="I33" s="471"/>
      <c r="M33" s="416" t="s">
        <v>1287</v>
      </c>
      <c r="N33" s="416">
        <v>6600000</v>
      </c>
    </row>
    <row r="34" spans="1:14" x14ac:dyDescent="0.25">
      <c r="A34" s="420"/>
      <c r="B34" s="415"/>
      <c r="C34" s="543" t="s">
        <v>853</v>
      </c>
      <c r="D34" s="415"/>
      <c r="E34" s="428"/>
      <c r="F34" s="428"/>
      <c r="G34" s="411"/>
      <c r="H34" s="482">
        <f>SUM(G31:G34)</f>
        <v>210000</v>
      </c>
      <c r="I34" s="472"/>
      <c r="M34" s="416" t="s">
        <v>1288</v>
      </c>
      <c r="N34" s="416">
        <v>190000</v>
      </c>
    </row>
    <row r="35" spans="1:14" ht="15.75" customHeight="1" thickBot="1" x14ac:dyDescent="0.3">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x14ac:dyDescent="0.3">
      <c r="A36" s="420"/>
      <c r="B36" s="450" t="s">
        <v>778</v>
      </c>
      <c r="C36" s="415"/>
      <c r="D36" s="415"/>
      <c r="E36" s="444" t="s">
        <v>521</v>
      </c>
      <c r="F36" s="454" t="s">
        <v>522</v>
      </c>
      <c r="G36" s="444" t="s">
        <v>524</v>
      </c>
      <c r="H36" s="487"/>
      <c r="I36" s="471"/>
      <c r="K36" s="710"/>
      <c r="L36" s="710">
        <f>SUM(L28:L34)</f>
        <v>30510000</v>
      </c>
      <c r="M36" s="710"/>
      <c r="N36" s="710">
        <f>SUM(N28:N35)</f>
        <v>30510000</v>
      </c>
    </row>
    <row r="37" spans="1:14" ht="15" customHeight="1" thickTop="1" x14ac:dyDescent="0.25">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380" t="s">
        <v>1278</v>
      </c>
      <c r="L37" s="1380"/>
      <c r="M37" s="1380"/>
      <c r="N37" s="1380"/>
    </row>
    <row r="38" spans="1:14" ht="15" customHeight="1" x14ac:dyDescent="0.25">
      <c r="A38" s="420"/>
      <c r="C38" s="524"/>
      <c r="D38" s="456"/>
      <c r="E38" s="428"/>
      <c r="F38" s="415"/>
      <c r="G38" s="527"/>
      <c r="H38" s="489">
        <f>+G37</f>
        <v>0</v>
      </c>
      <c r="I38" s="472"/>
      <c r="K38" s="36" t="s">
        <v>1291</v>
      </c>
      <c r="L38" s="36">
        <v>41000</v>
      </c>
      <c r="M38" s="719" t="s">
        <v>1273</v>
      </c>
      <c r="N38" s="36">
        <f>41000*0.6/2</f>
        <v>12300</v>
      </c>
    </row>
    <row r="39" spans="1:14" ht="15" customHeight="1" x14ac:dyDescent="0.25">
      <c r="A39" s="420"/>
      <c r="B39" s="408" t="s">
        <v>774</v>
      </c>
      <c r="C39" s="415"/>
      <c r="D39" s="456"/>
      <c r="E39" s="428"/>
      <c r="F39" s="415"/>
      <c r="G39" s="428"/>
      <c r="H39" s="489">
        <f>ROUND((H38)*0.02,0)</f>
        <v>0</v>
      </c>
      <c r="I39" s="472"/>
      <c r="K39" s="36" t="s">
        <v>1292</v>
      </c>
      <c r="L39" s="36">
        <v>140000</v>
      </c>
      <c r="M39" s="719">
        <v>0.1</v>
      </c>
      <c r="N39" s="36">
        <f>L39*M39</f>
        <v>14000</v>
      </c>
    </row>
    <row r="40" spans="1:14" ht="15" customHeight="1" x14ac:dyDescent="0.25">
      <c r="A40" s="420"/>
      <c r="B40" s="408" t="s">
        <v>775</v>
      </c>
      <c r="C40" s="415"/>
      <c r="D40" s="456"/>
      <c r="E40" s="458"/>
      <c r="F40" s="415"/>
      <c r="G40" s="428"/>
      <c r="H40" s="528">
        <f>ROUND((H38)*0.01,0)</f>
        <v>0</v>
      </c>
      <c r="I40" s="474"/>
      <c r="K40" s="36" t="s">
        <v>1293</v>
      </c>
      <c r="L40" s="36">
        <v>12500</v>
      </c>
      <c r="M40" s="719" t="s">
        <v>1274</v>
      </c>
      <c r="N40" s="36">
        <f>L40*0.1/2</f>
        <v>625</v>
      </c>
    </row>
    <row r="41" spans="1:14" ht="15" customHeight="1" thickBot="1" x14ac:dyDescent="0.3">
      <c r="A41" s="420"/>
      <c r="B41" s="450" t="s">
        <v>565</v>
      </c>
      <c r="C41" s="415"/>
      <c r="D41" s="456"/>
      <c r="E41" s="458"/>
      <c r="F41" s="415"/>
      <c r="G41" s="428"/>
      <c r="H41" s="488">
        <f>SUM(H38:H40)</f>
        <v>0</v>
      </c>
      <c r="I41" s="472"/>
      <c r="K41" s="36"/>
      <c r="L41" s="36"/>
      <c r="M41" s="36"/>
      <c r="N41" s="718">
        <f>SUM(N38:N40)</f>
        <v>26925</v>
      </c>
    </row>
    <row r="42" spans="1:14" ht="15" customHeight="1" thickTop="1" x14ac:dyDescent="0.25">
      <c r="A42" s="420"/>
      <c r="B42" s="421" t="s">
        <v>571</v>
      </c>
      <c r="C42" s="428"/>
      <c r="D42" s="428"/>
      <c r="E42" s="428"/>
      <c r="F42" s="428"/>
      <c r="G42" s="428"/>
      <c r="H42" s="490"/>
      <c r="I42" s="471"/>
    </row>
    <row r="43" spans="1:14" ht="15" customHeight="1" x14ac:dyDescent="0.3">
      <c r="A43" s="420"/>
      <c r="B43" s="667"/>
      <c r="C43" s="1340" t="s">
        <v>993</v>
      </c>
      <c r="D43" s="1340"/>
      <c r="E43" s="703">
        <v>42263</v>
      </c>
      <c r="F43" s="848"/>
      <c r="G43" s="447">
        <v>15000</v>
      </c>
      <c r="H43" s="482"/>
      <c r="I43" s="472"/>
      <c r="K43" s="682" t="s">
        <v>1368</v>
      </c>
      <c r="L43" s="747"/>
      <c r="M43" s="682" t="s">
        <v>1369</v>
      </c>
      <c r="N43" s="747"/>
    </row>
    <row r="44" spans="1:14" ht="15" customHeight="1" x14ac:dyDescent="0.3">
      <c r="A44" s="420"/>
      <c r="B44" s="588"/>
      <c r="C44" s="1340" t="s">
        <v>1251</v>
      </c>
      <c r="D44" s="1340"/>
      <c r="E44" s="848" t="s">
        <v>1253</v>
      </c>
      <c r="F44" s="848"/>
      <c r="G44" s="410">
        <v>270000</v>
      </c>
      <c r="H44" s="482"/>
      <c r="I44" s="472"/>
      <c r="K44" s="416" t="s">
        <v>1366</v>
      </c>
      <c r="M44" s="416" t="s">
        <v>1370</v>
      </c>
    </row>
    <row r="45" spans="1:14" ht="15" customHeight="1" x14ac:dyDescent="0.3">
      <c r="A45" s="420"/>
      <c r="B45" s="588"/>
      <c r="C45" s="1340" t="s">
        <v>1192</v>
      </c>
      <c r="D45" s="1340"/>
      <c r="E45" s="703">
        <v>42551</v>
      </c>
      <c r="F45" s="848"/>
      <c r="G45" s="410">
        <v>90000</v>
      </c>
      <c r="H45" s="482"/>
      <c r="I45" s="472"/>
      <c r="K45" s="416" t="s">
        <v>1364</v>
      </c>
      <c r="M45" s="416" t="s">
        <v>1365</v>
      </c>
    </row>
    <row r="46" spans="1:14" ht="12.75" customHeight="1" thickBot="1" x14ac:dyDescent="0.35">
      <c r="A46" s="414"/>
      <c r="B46" s="477"/>
      <c r="C46" s="1342"/>
      <c r="D46" s="1342"/>
      <c r="E46" s="707"/>
      <c r="F46" s="849"/>
      <c r="G46" s="481"/>
      <c r="H46" s="493">
        <f>SUM(G43:G46)</f>
        <v>375000</v>
      </c>
      <c r="I46" s="478"/>
      <c r="M46" s="416" t="s">
        <v>1367</v>
      </c>
    </row>
    <row r="47" spans="1:14" ht="18" customHeight="1" thickBot="1" x14ac:dyDescent="0.3">
      <c r="A47" s="494"/>
      <c r="B47" s="708" t="str">
        <f>IF(H47=0,"TAX  PAYABLE / REFUND ",IF(H47&lt;0,"REFUND","TAX  PAYABLE"))</f>
        <v>REFUND</v>
      </c>
      <c r="C47" s="704"/>
      <c r="D47" s="745">
        <v>42570</v>
      </c>
      <c r="E47" s="705"/>
      <c r="F47" s="706" t="s">
        <v>776</v>
      </c>
      <c r="G47" s="497"/>
      <c r="H47" s="499">
        <f>H41-H46</f>
        <v>-375000</v>
      </c>
      <c r="I47" s="500"/>
    </row>
    <row r="48" spans="1:14" x14ac:dyDescent="0.25">
      <c r="A48" s="567"/>
      <c r="B48" s="570"/>
      <c r="C48" s="570"/>
      <c r="D48" s="570"/>
      <c r="E48" s="570"/>
      <c r="F48" s="570"/>
      <c r="G48" s="570"/>
      <c r="H48" s="570"/>
      <c r="I48" s="569"/>
      <c r="J48" s="554"/>
    </row>
    <row r="49" spans="1:10" x14ac:dyDescent="0.25">
      <c r="A49" s="567"/>
      <c r="E49" s="554"/>
      <c r="F49" s="554"/>
      <c r="G49" s="554"/>
      <c r="H49" s="554"/>
      <c r="I49" s="569"/>
      <c r="J49" s="554"/>
    </row>
    <row r="50" spans="1:10" x14ac:dyDescent="0.25">
      <c r="A50" s="567"/>
      <c r="C50" s="715"/>
      <c r="H50" s="554"/>
      <c r="I50" s="569"/>
      <c r="J50" s="554"/>
    </row>
    <row r="51" spans="1:10" x14ac:dyDescent="0.25">
      <c r="A51" s="567"/>
      <c r="C51" s="715"/>
      <c r="H51" s="554"/>
      <c r="I51" s="569"/>
      <c r="J51" s="554"/>
    </row>
    <row r="52" spans="1:10" x14ac:dyDescent="0.25">
      <c r="A52" s="567"/>
      <c r="B52" s="554"/>
      <c r="C52" s="715"/>
      <c r="H52" s="554"/>
      <c r="I52" s="569"/>
      <c r="J52" s="554"/>
    </row>
    <row r="53" spans="1:10" x14ac:dyDescent="0.25">
      <c r="A53" s="567"/>
      <c r="B53" s="554"/>
      <c r="C53" s="554"/>
      <c r="H53" s="554"/>
      <c r="I53" s="569"/>
      <c r="J53" s="554"/>
    </row>
  </sheetData>
  <mergeCells count="10">
    <mergeCell ref="C43:D43"/>
    <mergeCell ref="C44:D44"/>
    <mergeCell ref="C45:D45"/>
    <mergeCell ref="C46:D46"/>
    <mergeCell ref="A1:I1"/>
    <mergeCell ref="K1:N1"/>
    <mergeCell ref="A2:I2"/>
    <mergeCell ref="K19:N19"/>
    <mergeCell ref="K26:N26"/>
    <mergeCell ref="K37:N37"/>
  </mergeCells>
  <dataValidations count="1">
    <dataValidation type="list" errorStyle="information" allowBlank="1" showInputMessage="1" showErrorMessage="1" sqref="D4" xr:uid="{00000000-0002-0000-1C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06"/>
  <sheetViews>
    <sheetView showZeros="0" zoomScale="120" workbookViewId="0">
      <selection activeCell="L19" sqref="L19"/>
    </sheetView>
  </sheetViews>
  <sheetFormatPr defaultColWidth="9.109375" defaultRowHeight="13.2" x14ac:dyDescent="0.25"/>
  <cols>
    <col min="1" max="1" width="1.6640625" style="460" customWidth="1"/>
    <col min="2" max="2" width="9.3320312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9.109375" style="416"/>
    <col min="12" max="12" width="9.109375" style="416" customWidth="1"/>
    <col min="13" max="13" width="6.109375" style="416" customWidth="1"/>
    <col min="14" max="14" width="7.44140625" style="416" customWidth="1"/>
    <col min="15" max="16384" width="9.109375" style="416"/>
  </cols>
  <sheetData>
    <row r="1" spans="1:9" s="413" customFormat="1" ht="18.75" customHeight="1" x14ac:dyDescent="0.25">
      <c r="A1" s="751"/>
      <c r="B1" s="1381" t="s">
        <v>1459</v>
      </c>
      <c r="C1" s="1381"/>
      <c r="D1" s="1381"/>
      <c r="E1" s="1381"/>
      <c r="F1" s="1381"/>
      <c r="G1" s="1381"/>
      <c r="H1" s="1381"/>
      <c r="I1" s="837"/>
    </row>
    <row r="2" spans="1:9" s="413" customFormat="1" ht="18.75" customHeight="1" x14ac:dyDescent="0.25">
      <c r="A2" s="823"/>
      <c r="B2" s="826" t="s">
        <v>1456</v>
      </c>
      <c r="C2" s="824"/>
      <c r="D2" s="824"/>
      <c r="E2" s="826"/>
      <c r="F2" s="824"/>
      <c r="G2" s="824"/>
      <c r="H2" s="827">
        <f>50000*12*2</f>
        <v>1200000</v>
      </c>
      <c r="I2" s="825"/>
    </row>
    <row r="3" spans="1:9" s="413" customFormat="1" ht="18.75" customHeight="1" x14ac:dyDescent="0.25">
      <c r="A3" s="823"/>
      <c r="B3" s="826" t="s">
        <v>1454</v>
      </c>
      <c r="C3" s="824"/>
      <c r="D3" s="824"/>
      <c r="E3" s="826"/>
      <c r="F3" s="824"/>
      <c r="G3" s="824"/>
      <c r="H3" s="827">
        <v>647400</v>
      </c>
      <c r="I3" s="825"/>
    </row>
    <row r="4" spans="1:9" s="413" customFormat="1" ht="18.75" customHeight="1" x14ac:dyDescent="0.25">
      <c r="A4" s="823"/>
      <c r="B4" s="826" t="s">
        <v>1457</v>
      </c>
      <c r="C4" s="824"/>
      <c r="D4" s="824"/>
      <c r="E4" s="826"/>
      <c r="F4" s="824"/>
      <c r="G4" s="824"/>
      <c r="H4" s="827">
        <f>H3+72000-H2</f>
        <v>-480600</v>
      </c>
      <c r="I4" s="825"/>
    </row>
    <row r="5" spans="1:9" ht="18" customHeight="1" thickBot="1" x14ac:dyDescent="0.3">
      <c r="A5" s="1336" t="s">
        <v>562</v>
      </c>
      <c r="B5" s="1337"/>
      <c r="C5" s="1337"/>
      <c r="D5" s="1337"/>
      <c r="E5" s="1337"/>
      <c r="F5" s="1337"/>
      <c r="G5" s="1337"/>
      <c r="H5" s="1337"/>
      <c r="I5" s="1338"/>
    </row>
    <row r="6" spans="1:9" ht="16.5" customHeight="1" x14ac:dyDescent="0.25">
      <c r="A6" s="417"/>
      <c r="B6" s="418" t="s">
        <v>994</v>
      </c>
      <c r="C6" s="419"/>
      <c r="D6" s="419"/>
      <c r="E6" s="419"/>
      <c r="F6" s="419"/>
      <c r="G6" s="419"/>
      <c r="H6" s="501" t="s">
        <v>1013</v>
      </c>
      <c r="I6" s="470"/>
    </row>
    <row r="7" spans="1:9" ht="15" customHeight="1" x14ac:dyDescent="0.25">
      <c r="A7" s="420"/>
      <c r="B7" s="421"/>
      <c r="C7" s="422" t="s">
        <v>567</v>
      </c>
      <c r="D7" s="422"/>
      <c r="E7" s="431"/>
      <c r="F7" s="423"/>
      <c r="G7" s="411"/>
      <c r="H7" s="482"/>
      <c r="I7" s="471"/>
    </row>
    <row r="8" spans="1:9" ht="15" customHeight="1" x14ac:dyDescent="0.25">
      <c r="A8" s="420"/>
      <c r="B8" s="415"/>
      <c r="C8" s="408" t="s">
        <v>848</v>
      </c>
      <c r="D8" s="415"/>
      <c r="E8" s="415"/>
      <c r="F8" s="415"/>
      <c r="G8" s="523"/>
      <c r="H8" s="482">
        <f>SUM(G7:G8)</f>
        <v>0</v>
      </c>
      <c r="I8" s="472"/>
    </row>
    <row r="9" spans="1:9" ht="15" customHeight="1" x14ac:dyDescent="0.25">
      <c r="A9" s="420"/>
      <c r="B9" s="426" t="s">
        <v>995</v>
      </c>
      <c r="C9" s="415"/>
      <c r="D9" s="415"/>
      <c r="E9" s="525" t="s">
        <v>1014</v>
      </c>
      <c r="F9" s="423"/>
      <c r="G9" s="415"/>
      <c r="H9" s="482"/>
      <c r="I9" s="472"/>
    </row>
    <row r="10" spans="1:9" ht="15" customHeight="1" x14ac:dyDescent="0.25">
      <c r="A10" s="420"/>
      <c r="B10" s="426"/>
      <c r="C10" s="583" t="s">
        <v>1164</v>
      </c>
      <c r="D10" s="422"/>
      <c r="E10" s="672"/>
      <c r="F10" s="679"/>
      <c r="G10" s="411"/>
      <c r="H10" s="482"/>
      <c r="I10" s="472"/>
    </row>
    <row r="11" spans="1:9" ht="15" hidden="1" customHeight="1" x14ac:dyDescent="0.25">
      <c r="A11" s="420"/>
      <c r="B11" s="426"/>
      <c r="C11" s="408" t="s">
        <v>769</v>
      </c>
      <c r="D11" s="415"/>
      <c r="E11" s="408"/>
      <c r="F11" s="701"/>
      <c r="G11" s="479"/>
      <c r="H11" s="482"/>
      <c r="I11" s="472"/>
    </row>
    <row r="12" spans="1:9" ht="15" hidden="1" customHeight="1" x14ac:dyDescent="0.25">
      <c r="A12" s="420"/>
      <c r="B12" s="426"/>
      <c r="C12" s="408"/>
      <c r="D12" s="415"/>
      <c r="E12" s="408"/>
      <c r="F12" s="415"/>
      <c r="G12" s="423">
        <f>IF((G10-G11)&lt;0,0,(G10-G11))</f>
        <v>0</v>
      </c>
      <c r="H12" s="482"/>
      <c r="I12" s="472"/>
    </row>
    <row r="13" spans="1:9" ht="15" customHeight="1" x14ac:dyDescent="0.25">
      <c r="A13" s="420"/>
      <c r="B13" s="426"/>
      <c r="C13" s="590" t="s">
        <v>514</v>
      </c>
      <c r="D13" s="415"/>
      <c r="E13" s="408"/>
      <c r="F13" s="415">
        <f>G12*0.3</f>
        <v>0</v>
      </c>
      <c r="G13" s="763"/>
      <c r="H13" s="482"/>
      <c r="I13" s="472"/>
    </row>
    <row r="14" spans="1:9" ht="15" hidden="1" customHeight="1" x14ac:dyDescent="0.3">
      <c r="A14" s="420"/>
      <c r="B14" s="426"/>
      <c r="D14" s="415"/>
      <c r="E14" s="434"/>
      <c r="F14" s="681"/>
      <c r="G14" s="592">
        <f>F13+F14</f>
        <v>0</v>
      </c>
      <c r="H14" s="482">
        <f>G12-G14</f>
        <v>0</v>
      </c>
      <c r="I14" s="472"/>
    </row>
    <row r="15" spans="1:9" ht="15" customHeight="1" x14ac:dyDescent="0.25">
      <c r="A15" s="420"/>
      <c r="B15" s="421" t="s">
        <v>996</v>
      </c>
      <c r="C15" s="408"/>
      <c r="D15" s="415"/>
      <c r="E15" s="429"/>
      <c r="F15" s="415"/>
      <c r="G15" s="415"/>
      <c r="H15" s="482"/>
      <c r="I15" s="472"/>
    </row>
    <row r="16" spans="1:9" ht="15" customHeight="1" x14ac:dyDescent="0.25">
      <c r="A16" s="420"/>
      <c r="C16" s="408" t="s">
        <v>1390</v>
      </c>
      <c r="D16" s="415"/>
      <c r="F16" s="415">
        <f>+G67</f>
        <v>-480600</v>
      </c>
      <c r="G16" s="415"/>
      <c r="H16" s="482"/>
      <c r="I16" s="472"/>
    </row>
    <row r="17" spans="1:9" ht="15" customHeight="1" x14ac:dyDescent="0.25">
      <c r="A17" s="420"/>
      <c r="C17" s="838" t="s">
        <v>1455</v>
      </c>
      <c r="D17" s="415"/>
      <c r="F17" s="841">
        <v>735036</v>
      </c>
      <c r="G17" s="415"/>
      <c r="H17" s="482"/>
      <c r="I17" s="472"/>
    </row>
    <row r="18" spans="1:9" ht="15" customHeight="1" x14ac:dyDescent="0.25">
      <c r="A18" s="420"/>
      <c r="B18" s="415"/>
      <c r="C18" s="408" t="s">
        <v>1431</v>
      </c>
      <c r="D18" s="415"/>
      <c r="E18" s="698"/>
      <c r="F18" s="415">
        <f>+G68+G69+G71+G72</f>
        <v>99000</v>
      </c>
      <c r="G18" s="415"/>
      <c r="H18" s="482"/>
      <c r="I18" s="472"/>
    </row>
    <row r="19" spans="1:9" ht="15" customHeight="1" x14ac:dyDescent="0.25">
      <c r="A19" s="420"/>
      <c r="B19" s="415"/>
      <c r="C19" s="408" t="s">
        <v>1429</v>
      </c>
      <c r="D19" s="415"/>
      <c r="E19" s="698"/>
      <c r="F19" s="415">
        <f>+H70*-1</f>
        <v>-2000</v>
      </c>
      <c r="G19" s="415"/>
      <c r="H19" s="482"/>
      <c r="I19" s="472"/>
    </row>
    <row r="20" spans="1:9" ht="15" customHeight="1" x14ac:dyDescent="0.25">
      <c r="A20" s="420"/>
      <c r="B20" s="415"/>
      <c r="C20" s="408" t="s">
        <v>1430</v>
      </c>
      <c r="D20" s="428">
        <f>+G74</f>
        <v>2000</v>
      </c>
      <c r="E20" s="428">
        <f>+H75</f>
        <v>193460</v>
      </c>
      <c r="F20" s="681">
        <f>D20-E20</f>
        <v>-191460</v>
      </c>
      <c r="G20" s="836">
        <f>F16+F18+F19+F20+F17</f>
        <v>159976</v>
      </c>
      <c r="H20" s="483"/>
      <c r="I20" s="472"/>
    </row>
    <row r="21" spans="1:9" ht="15" customHeight="1" x14ac:dyDescent="0.25">
      <c r="A21" s="420"/>
      <c r="B21" s="842" t="s">
        <v>1461</v>
      </c>
      <c r="C21" s="408"/>
      <c r="F21" s="415"/>
      <c r="G21" s="415"/>
      <c r="H21" s="483">
        <f>+G20</f>
        <v>159976</v>
      </c>
      <c r="I21" s="472"/>
    </row>
    <row r="22" spans="1:9" ht="15" customHeight="1" x14ac:dyDescent="0.25">
      <c r="A22" s="420"/>
      <c r="B22" s="421" t="s">
        <v>997</v>
      </c>
      <c r="C22" s="415"/>
      <c r="D22" s="415"/>
      <c r="E22" s="415"/>
      <c r="F22" s="415"/>
      <c r="G22" s="415"/>
      <c r="H22" s="482"/>
      <c r="I22" s="472"/>
    </row>
    <row r="23" spans="1:9" ht="15" customHeight="1" x14ac:dyDescent="0.25">
      <c r="A23" s="420"/>
      <c r="B23" s="421"/>
      <c r="C23" s="408" t="s">
        <v>498</v>
      </c>
      <c r="D23" s="415"/>
      <c r="E23" s="415"/>
      <c r="F23" s="415"/>
      <c r="G23" s="415"/>
      <c r="H23" s="482"/>
      <c r="I23" s="472"/>
    </row>
    <row r="24" spans="1:9" x14ac:dyDescent="0.25">
      <c r="A24" s="420"/>
      <c r="B24" s="415"/>
      <c r="C24" s="408" t="s">
        <v>77</v>
      </c>
      <c r="E24" s="408"/>
      <c r="F24" s="415"/>
      <c r="G24" s="592"/>
      <c r="H24" s="482"/>
      <c r="I24" s="472"/>
    </row>
    <row r="25" spans="1:9" ht="20.100000000000001" customHeight="1" x14ac:dyDescent="0.25">
      <c r="A25" s="420"/>
      <c r="B25" s="421" t="s">
        <v>998</v>
      </c>
      <c r="C25" s="415"/>
      <c r="D25" s="415"/>
      <c r="E25" s="415"/>
      <c r="F25" s="415"/>
      <c r="G25" s="415"/>
      <c r="H25" s="482"/>
      <c r="I25" s="471"/>
    </row>
    <row r="26" spans="1:9" x14ac:dyDescent="0.25">
      <c r="A26" s="420"/>
      <c r="B26" s="636"/>
      <c r="C26" s="431"/>
      <c r="D26" s="431"/>
      <c r="E26" s="431"/>
      <c r="F26" s="415"/>
      <c r="G26" s="411"/>
      <c r="H26" s="482"/>
      <c r="I26" s="471"/>
    </row>
    <row r="27" spans="1:9" x14ac:dyDescent="0.25">
      <c r="A27" s="420"/>
      <c r="B27" s="589"/>
      <c r="C27" s="761"/>
      <c r="E27" s="702"/>
      <c r="F27" s="408"/>
      <c r="G27" s="462"/>
      <c r="H27" s="482"/>
      <c r="I27" s="471"/>
    </row>
    <row r="28" spans="1:9" ht="15" customHeight="1" x14ac:dyDescent="0.3">
      <c r="A28" s="420"/>
      <c r="B28" s="589"/>
      <c r="C28" s="431"/>
      <c r="D28" s="434"/>
      <c r="E28" s="433"/>
      <c r="F28" s="433"/>
      <c r="G28" s="480">
        <f>SUM(G26:G27)</f>
        <v>0</v>
      </c>
      <c r="H28" s="482"/>
      <c r="I28" s="471"/>
    </row>
    <row r="29" spans="1:9" ht="15" hidden="1" customHeight="1" x14ac:dyDescent="0.25">
      <c r="A29" s="420"/>
      <c r="B29" s="589"/>
      <c r="C29" s="415"/>
      <c r="D29" s="415"/>
      <c r="E29" s="415"/>
      <c r="F29" s="415"/>
      <c r="G29" s="437"/>
      <c r="H29" s="482">
        <f>+G28</f>
        <v>0</v>
      </c>
      <c r="I29" s="472"/>
    </row>
    <row r="30" spans="1:9" ht="15" hidden="1" customHeight="1" x14ac:dyDescent="0.25">
      <c r="A30" s="420"/>
      <c r="B30" s="428"/>
      <c r="C30" s="435"/>
      <c r="D30" s="436"/>
      <c r="E30" s="415"/>
      <c r="F30" s="444"/>
      <c r="G30" s="437"/>
      <c r="H30" s="484"/>
      <c r="I30" s="534"/>
    </row>
    <row r="31" spans="1:9" ht="15" customHeight="1" x14ac:dyDescent="0.25">
      <c r="A31" s="420"/>
      <c r="B31" s="421" t="s">
        <v>501</v>
      </c>
      <c r="C31" s="415"/>
      <c r="D31" s="415"/>
      <c r="E31" s="428"/>
      <c r="F31" s="428"/>
      <c r="G31" s="424"/>
      <c r="H31" s="485">
        <f>SUM(H8:H29)</f>
        <v>159976</v>
      </c>
      <c r="I31" s="472"/>
    </row>
    <row r="32" spans="1:9" ht="15" customHeight="1" x14ac:dyDescent="0.25">
      <c r="A32" s="420" t="s">
        <v>1275</v>
      </c>
      <c r="B32" s="445" t="s">
        <v>999</v>
      </c>
      <c r="C32" s="415"/>
      <c r="D32" s="415"/>
      <c r="E32" s="415"/>
      <c r="F32" s="415"/>
      <c r="G32" s="415"/>
      <c r="H32" s="482"/>
      <c r="I32" s="471"/>
    </row>
    <row r="33" spans="1:13" ht="15" hidden="1" customHeight="1" x14ac:dyDescent="0.25">
      <c r="A33" s="420"/>
      <c r="B33" s="446"/>
      <c r="C33" s="435"/>
      <c r="D33" s="415"/>
      <c r="E33" s="415"/>
      <c r="F33" s="415"/>
      <c r="G33" s="423"/>
      <c r="H33" s="482"/>
      <c r="I33" s="471"/>
    </row>
    <row r="34" spans="1:13" ht="15" hidden="1" customHeight="1" x14ac:dyDescent="0.25">
      <c r="A34" s="420"/>
      <c r="B34" s="446"/>
      <c r="C34" s="431"/>
      <c r="D34" s="415"/>
      <c r="E34" s="415"/>
      <c r="F34" s="411"/>
      <c r="G34" s="423"/>
      <c r="H34" s="482"/>
      <c r="I34" s="471"/>
    </row>
    <row r="35" spans="1:13" ht="12.75" hidden="1" customHeight="1" x14ac:dyDescent="0.25">
      <c r="A35" s="420"/>
      <c r="B35" s="446"/>
      <c r="C35" s="431"/>
      <c r="D35" s="415"/>
      <c r="E35" s="415"/>
      <c r="F35" s="411"/>
      <c r="G35" s="423"/>
      <c r="H35" s="482"/>
      <c r="I35" s="471"/>
    </row>
    <row r="36" spans="1:13" ht="15" hidden="1" customHeight="1" x14ac:dyDescent="0.25">
      <c r="A36" s="420"/>
      <c r="B36" s="446"/>
      <c r="C36" s="431"/>
      <c r="D36" s="415"/>
      <c r="E36" s="415"/>
      <c r="F36" s="448">
        <f>SUM(F34:F35)</f>
        <v>0</v>
      </c>
      <c r="G36" s="415">
        <f>IF(F36&gt;150000,150000,F36)</f>
        <v>0</v>
      </c>
      <c r="H36" s="482"/>
      <c r="I36" s="471"/>
    </row>
    <row r="37" spans="1:13" ht="15" hidden="1" customHeight="1" x14ac:dyDescent="0.25">
      <c r="A37" s="420"/>
      <c r="B37" s="446"/>
      <c r="C37" s="449"/>
      <c r="D37" s="415"/>
      <c r="E37" s="415"/>
      <c r="F37" s="415"/>
      <c r="G37" s="411"/>
      <c r="H37" s="482"/>
      <c r="I37" s="471"/>
    </row>
    <row r="38" spans="1:13" ht="15" hidden="1" customHeight="1" x14ac:dyDescent="0.25">
      <c r="A38" s="420"/>
      <c r="B38" s="446"/>
      <c r="C38" s="449"/>
      <c r="H38" s="482"/>
      <c r="I38" s="471"/>
    </row>
    <row r="39" spans="1:13" ht="15" hidden="1" customHeight="1" x14ac:dyDescent="0.25">
      <c r="A39" s="420"/>
      <c r="B39" s="446"/>
      <c r="C39" s="449"/>
      <c r="H39" s="482"/>
      <c r="I39" s="471"/>
    </row>
    <row r="40" spans="1:13" ht="15" customHeight="1" x14ac:dyDescent="0.25">
      <c r="A40" s="420"/>
      <c r="B40" s="446"/>
      <c r="C40" s="449" t="s">
        <v>611</v>
      </c>
      <c r="G40" s="416">
        <v>50000</v>
      </c>
      <c r="H40" s="482"/>
      <c r="I40" s="471"/>
    </row>
    <row r="41" spans="1:13" x14ac:dyDescent="0.25">
      <c r="A41" s="420"/>
      <c r="B41" s="415"/>
      <c r="C41" s="797" t="s">
        <v>1448</v>
      </c>
      <c r="D41" s="415"/>
      <c r="E41" s="428"/>
      <c r="F41" s="428"/>
      <c r="G41" s="411"/>
      <c r="H41" s="482">
        <f>+G40</f>
        <v>50000</v>
      </c>
      <c r="I41" s="472"/>
    </row>
    <row r="42" spans="1:13" ht="15.75" customHeight="1" thickBot="1" x14ac:dyDescent="0.3">
      <c r="A42" s="420"/>
      <c r="B42" s="451" t="s">
        <v>777</v>
      </c>
      <c r="C42" s="415"/>
      <c r="D42" s="415"/>
      <c r="E42" s="452">
        <f>IF((H31-H41)&lt;0,0,(H31-H41))</f>
        <v>109976</v>
      </c>
      <c r="F42" s="453" t="s">
        <v>779</v>
      </c>
      <c r="G42" s="440"/>
      <c r="H42" s="486">
        <f>ROUND((E42/10),0)*10</f>
        <v>109980</v>
      </c>
      <c r="I42" s="475"/>
      <c r="M42" s="685"/>
    </row>
    <row r="43" spans="1:13" ht="15" customHeight="1" thickTop="1" x14ac:dyDescent="0.25">
      <c r="A43" s="420"/>
      <c r="B43" s="450" t="s">
        <v>778</v>
      </c>
      <c r="C43" s="415"/>
      <c r="D43" s="415"/>
      <c r="E43" s="444" t="s">
        <v>521</v>
      </c>
      <c r="F43" s="454" t="s">
        <v>522</v>
      </c>
      <c r="G43" s="444" t="s">
        <v>524</v>
      </c>
      <c r="H43" s="487"/>
      <c r="I43" s="471"/>
    </row>
    <row r="44" spans="1:13" ht="15" customHeight="1" x14ac:dyDescent="0.25">
      <c r="A44" s="420"/>
      <c r="B44" s="530"/>
      <c r="C44" s="408" t="s">
        <v>518</v>
      </c>
      <c r="D44" s="415"/>
      <c r="E44" s="455">
        <f>H42-E45</f>
        <v>109980</v>
      </c>
      <c r="F44" s="678">
        <v>0.3</v>
      </c>
      <c r="G44" s="415">
        <f>E44*F44</f>
        <v>32994</v>
      </c>
      <c r="H44" s="487"/>
      <c r="I44" s="471"/>
    </row>
    <row r="45" spans="1:13" ht="15" customHeight="1" x14ac:dyDescent="0.25">
      <c r="A45" s="420"/>
      <c r="C45" s="408" t="s">
        <v>1391</v>
      </c>
      <c r="D45" s="415"/>
      <c r="E45" s="749"/>
      <c r="F45" s="678"/>
      <c r="G45" s="527">
        <f>ROUND(E45*F45,0)</f>
        <v>0</v>
      </c>
      <c r="H45" s="489">
        <f>+G44+G45</f>
        <v>32994</v>
      </c>
      <c r="I45" s="472"/>
    </row>
    <row r="46" spans="1:13" ht="15" customHeight="1" x14ac:dyDescent="0.25">
      <c r="A46" s="420"/>
      <c r="B46" s="416" t="s">
        <v>1409</v>
      </c>
      <c r="C46" s="524"/>
      <c r="D46" s="678">
        <v>0.12</v>
      </c>
      <c r="E46" s="749" t="s">
        <v>1410</v>
      </c>
      <c r="G46" s="526"/>
      <c r="H46" s="696"/>
      <c r="I46" s="472"/>
    </row>
    <row r="47" spans="1:13" ht="15" customHeight="1" x14ac:dyDescent="0.25">
      <c r="A47" s="420"/>
      <c r="C47" s="524"/>
      <c r="D47" s="415"/>
      <c r="E47" s="749"/>
      <c r="F47" s="750"/>
      <c r="G47" s="526"/>
      <c r="H47" s="489">
        <f>H45+H46</f>
        <v>32994</v>
      </c>
      <c r="I47" s="472"/>
    </row>
    <row r="48" spans="1:13" ht="15" customHeight="1" x14ac:dyDescent="0.25">
      <c r="A48" s="420"/>
      <c r="B48" s="408" t="s">
        <v>774</v>
      </c>
      <c r="C48" s="415"/>
      <c r="D48" s="456"/>
      <c r="E48" s="428"/>
      <c r="F48" s="415"/>
      <c r="G48" s="428"/>
      <c r="H48" s="489">
        <f>ROUND((H47)*0.02,0)</f>
        <v>660</v>
      </c>
      <c r="I48" s="472"/>
    </row>
    <row r="49" spans="1:10" ht="15" customHeight="1" x14ac:dyDescent="0.25">
      <c r="A49" s="420"/>
      <c r="B49" s="408" t="s">
        <v>775</v>
      </c>
      <c r="C49" s="415"/>
      <c r="D49" s="456"/>
      <c r="E49" s="458"/>
      <c r="F49" s="415"/>
      <c r="G49" s="428"/>
      <c r="H49" s="528">
        <f>ROUND((H47)*0.01,0)</f>
        <v>330</v>
      </c>
      <c r="I49" s="474"/>
    </row>
    <row r="50" spans="1:10" ht="15" customHeight="1" x14ac:dyDescent="0.25">
      <c r="A50" s="420"/>
      <c r="B50" s="450" t="s">
        <v>565</v>
      </c>
      <c r="C50" s="415"/>
      <c r="D50" s="456"/>
      <c r="E50" s="458"/>
      <c r="F50" s="415"/>
      <c r="G50" s="428"/>
      <c r="H50" s="488">
        <f>SUM(H47:H49)</f>
        <v>33984</v>
      </c>
      <c r="I50" s="472"/>
    </row>
    <row r="51" spans="1:10" ht="15" customHeight="1" x14ac:dyDescent="0.25">
      <c r="A51" s="420"/>
      <c r="B51" s="421" t="s">
        <v>571</v>
      </c>
      <c r="C51" s="428"/>
      <c r="D51" s="456"/>
      <c r="E51" s="428"/>
      <c r="F51" s="428"/>
      <c r="G51" s="428"/>
      <c r="H51" s="490"/>
      <c r="I51" s="471"/>
    </row>
    <row r="52" spans="1:10" ht="15" customHeight="1" x14ac:dyDescent="0.3">
      <c r="A52" s="420"/>
      <c r="B52" s="667"/>
      <c r="C52" s="1340" t="s">
        <v>1387</v>
      </c>
      <c r="D52" s="1340"/>
      <c r="E52" s="703">
        <v>42262</v>
      </c>
      <c r="F52" s="833"/>
      <c r="G52" s="447">
        <v>10000</v>
      </c>
      <c r="H52" s="482"/>
      <c r="I52" s="472"/>
    </row>
    <row r="53" spans="1:10" ht="15" customHeight="1" x14ac:dyDescent="0.3">
      <c r="A53" s="420"/>
      <c r="B53" s="588"/>
      <c r="C53" s="1340" t="s">
        <v>1252</v>
      </c>
      <c r="D53" s="1340"/>
      <c r="E53" s="703">
        <v>42514</v>
      </c>
      <c r="F53" s="833"/>
      <c r="G53" s="410">
        <v>20000</v>
      </c>
      <c r="H53" s="482"/>
      <c r="I53" s="472"/>
    </row>
    <row r="54" spans="1:10" ht="12.75" customHeight="1" thickBot="1" x14ac:dyDescent="0.35">
      <c r="A54" s="414"/>
      <c r="B54" s="477"/>
      <c r="C54" s="834"/>
      <c r="D54" s="834"/>
      <c r="E54" s="707"/>
      <c r="F54" s="834"/>
      <c r="G54" s="481"/>
      <c r="H54" s="493">
        <f>SUM(G52:G54)</f>
        <v>30000</v>
      </c>
      <c r="I54" s="478"/>
    </row>
    <row r="55" spans="1:10" ht="18" customHeight="1" thickBot="1" x14ac:dyDescent="0.35">
      <c r="A55" s="494"/>
      <c r="B55" s="708" t="str">
        <f>IF(H55=0,"TAX  PAYABLE / REFUND ",IF(H55&lt;0,"REFUND","TAX  PAYABLE"))</f>
        <v>TAX  PAYABLE</v>
      </c>
      <c r="C55" s="704"/>
      <c r="D55" s="834"/>
      <c r="E55" s="705"/>
      <c r="F55" s="706" t="s">
        <v>776</v>
      </c>
      <c r="G55" s="497"/>
      <c r="H55" s="499">
        <f>H50-H54</f>
        <v>3984</v>
      </c>
      <c r="I55" s="500"/>
    </row>
    <row r="56" spans="1:10" ht="18" customHeight="1" x14ac:dyDescent="0.3">
      <c r="A56" s="804"/>
      <c r="B56" s="809" t="s">
        <v>1452</v>
      </c>
      <c r="C56" s="805"/>
      <c r="D56" s="833"/>
      <c r="E56" s="428"/>
      <c r="F56" s="453"/>
      <c r="G56" s="428"/>
      <c r="H56" s="424"/>
      <c r="I56" s="806"/>
    </row>
    <row r="57" spans="1:10" ht="18" customHeight="1" x14ac:dyDescent="0.3">
      <c r="A57" s="804"/>
      <c r="B57" s="807" t="s">
        <v>1433</v>
      </c>
      <c r="C57" s="805" t="s">
        <v>1451</v>
      </c>
      <c r="D57" s="833"/>
      <c r="E57" s="428"/>
      <c r="F57" s="453"/>
      <c r="G57" s="428"/>
      <c r="H57" s="808">
        <v>1000000</v>
      </c>
      <c r="I57" s="806"/>
    </row>
    <row r="58" spans="1:10" ht="18" customHeight="1" x14ac:dyDescent="0.3">
      <c r="A58" s="804"/>
      <c r="B58" s="762" t="s">
        <v>1436</v>
      </c>
      <c r="C58" s="427" t="s">
        <v>1449</v>
      </c>
      <c r="D58" s="833"/>
      <c r="E58" s="428"/>
      <c r="F58" s="453"/>
      <c r="G58" s="428"/>
      <c r="H58" s="808">
        <v>50000</v>
      </c>
      <c r="I58" s="806"/>
    </row>
    <row r="59" spans="1:10" ht="18" customHeight="1" x14ac:dyDescent="0.3">
      <c r="A59" s="804"/>
      <c r="B59" s="762" t="s">
        <v>1436</v>
      </c>
      <c r="C59" s="427" t="s">
        <v>1450</v>
      </c>
      <c r="D59" s="833"/>
      <c r="E59" s="428"/>
      <c r="F59" s="453"/>
      <c r="G59" s="428"/>
      <c r="H59" s="808">
        <v>6000</v>
      </c>
      <c r="I59" s="806"/>
    </row>
    <row r="60" spans="1:10" ht="13.8" thickBot="1" x14ac:dyDescent="0.3">
      <c r="A60" s="567"/>
      <c r="B60" s="570"/>
      <c r="C60" s="570"/>
      <c r="D60" s="748"/>
      <c r="E60" s="570"/>
      <c r="F60" s="570"/>
      <c r="G60" s="570"/>
      <c r="H60" s="570"/>
      <c r="I60" s="569"/>
      <c r="J60" s="554"/>
    </row>
    <row r="61" spans="1:10" x14ac:dyDescent="0.25">
      <c r="C61" s="784">
        <v>1</v>
      </c>
      <c r="D61" s="785" t="s">
        <v>1415</v>
      </c>
      <c r="E61" s="785"/>
      <c r="F61" s="785"/>
      <c r="G61" s="785">
        <v>2000</v>
      </c>
      <c r="H61" s="786"/>
    </row>
    <row r="62" spans="1:10" x14ac:dyDescent="0.25">
      <c r="B62" s="807" t="s">
        <v>1433</v>
      </c>
      <c r="C62" s="787">
        <v>2</v>
      </c>
      <c r="D62" s="788" t="s">
        <v>1416</v>
      </c>
      <c r="E62" s="788"/>
      <c r="F62" s="788"/>
      <c r="G62" s="788"/>
      <c r="H62" s="789"/>
    </row>
    <row r="63" spans="1:10" x14ac:dyDescent="0.25">
      <c r="B63" s="807" t="s">
        <v>1433</v>
      </c>
      <c r="C63" s="787">
        <v>3</v>
      </c>
      <c r="D63" s="788" t="s">
        <v>1417</v>
      </c>
      <c r="E63" s="788"/>
      <c r="F63" s="788"/>
      <c r="G63" s="788"/>
      <c r="H63" s="789"/>
    </row>
    <row r="64" spans="1:10" x14ac:dyDescent="0.25">
      <c r="B64" s="762" t="s">
        <v>1434</v>
      </c>
      <c r="C64" s="787">
        <v>4</v>
      </c>
      <c r="D64" s="788" t="s">
        <v>1418</v>
      </c>
      <c r="E64" s="788"/>
      <c r="F64" s="788"/>
      <c r="G64" s="788"/>
      <c r="H64" s="789"/>
    </row>
    <row r="65" spans="1:13" ht="13.8" thickBot="1" x14ac:dyDescent="0.3">
      <c r="B65" s="762" t="s">
        <v>1435</v>
      </c>
      <c r="C65" s="790">
        <v>5</v>
      </c>
      <c r="D65" s="791" t="s">
        <v>1419</v>
      </c>
      <c r="E65" s="791"/>
      <c r="F65" s="791"/>
      <c r="G65" s="791"/>
      <c r="H65" s="792"/>
    </row>
    <row r="66" spans="1:13" ht="13.8" thickBot="1" x14ac:dyDescent="0.3">
      <c r="B66" s="762"/>
    </row>
    <row r="67" spans="1:13" x14ac:dyDescent="0.25">
      <c r="B67" s="762"/>
      <c r="C67" s="774" t="s">
        <v>1458</v>
      </c>
      <c r="D67" s="775"/>
      <c r="E67" s="775"/>
      <c r="F67" s="775"/>
      <c r="G67" s="775">
        <f>647400+72000-1200000</f>
        <v>-480600</v>
      </c>
      <c r="H67" s="776"/>
    </row>
    <row r="68" spans="1:13" x14ac:dyDescent="0.25">
      <c r="B68" s="762" t="s">
        <v>1436</v>
      </c>
      <c r="C68" s="777" t="s">
        <v>1420</v>
      </c>
      <c r="D68" s="778"/>
      <c r="E68" s="778"/>
      <c r="F68" s="778"/>
      <c r="G68" s="778">
        <v>6000</v>
      </c>
      <c r="H68" s="779"/>
    </row>
    <row r="69" spans="1:13" x14ac:dyDescent="0.25">
      <c r="B69" s="762" t="s">
        <v>1436</v>
      </c>
      <c r="C69" s="777" t="s">
        <v>1421</v>
      </c>
      <c r="D69" s="778"/>
      <c r="E69" s="778"/>
      <c r="F69" s="778"/>
      <c r="G69" s="778">
        <v>50000</v>
      </c>
      <c r="H69" s="779"/>
    </row>
    <row r="70" spans="1:13" s="476" customFormat="1" x14ac:dyDescent="0.25">
      <c r="A70" s="460"/>
      <c r="B70" s="762" t="s">
        <v>1432</v>
      </c>
      <c r="C70" s="780" t="s">
        <v>1415</v>
      </c>
      <c r="D70" s="778"/>
      <c r="E70" s="778"/>
      <c r="F70" s="778"/>
      <c r="G70" s="778"/>
      <c r="H70" s="793">
        <v>2000</v>
      </c>
      <c r="J70" s="416"/>
      <c r="K70" s="416"/>
      <c r="L70" s="416"/>
      <c r="M70" s="416"/>
    </row>
    <row r="71" spans="1:13" s="476" customFormat="1" x14ac:dyDescent="0.25">
      <c r="A71" s="460"/>
      <c r="B71" s="762" t="s">
        <v>1434</v>
      </c>
      <c r="C71" s="777" t="s">
        <v>1418</v>
      </c>
      <c r="D71" s="778"/>
      <c r="E71" s="778"/>
      <c r="F71" s="778"/>
      <c r="G71" s="778">
        <v>40000</v>
      </c>
      <c r="H71" s="779"/>
      <c r="J71" s="416"/>
      <c r="K71" s="416"/>
      <c r="L71" s="416"/>
      <c r="M71" s="416"/>
    </row>
    <row r="72" spans="1:13" s="476" customFormat="1" x14ac:dyDescent="0.25">
      <c r="A72" s="460"/>
      <c r="B72" s="762" t="s">
        <v>1435</v>
      </c>
      <c r="C72" s="777" t="s">
        <v>1422</v>
      </c>
      <c r="D72" s="778"/>
      <c r="E72" s="778"/>
      <c r="F72" s="778"/>
      <c r="G72" s="778">
        <v>3000</v>
      </c>
      <c r="H72" s="779"/>
      <c r="J72" s="416"/>
      <c r="K72" s="416"/>
      <c r="L72" s="416"/>
      <c r="M72" s="416"/>
    </row>
    <row r="73" spans="1:13" s="476" customFormat="1" x14ac:dyDescent="0.25">
      <c r="A73" s="460"/>
      <c r="B73" s="762"/>
      <c r="C73" s="777"/>
      <c r="D73" s="778"/>
      <c r="E73" s="778"/>
      <c r="F73" s="778"/>
      <c r="G73" s="778"/>
      <c r="H73" s="779"/>
      <c r="J73" s="416"/>
      <c r="K73" s="416"/>
      <c r="L73" s="416"/>
      <c r="M73" s="416"/>
    </row>
    <row r="74" spans="1:13" s="476" customFormat="1" x14ac:dyDescent="0.25">
      <c r="A74" s="460"/>
      <c r="B74" s="760" t="s">
        <v>1437</v>
      </c>
      <c r="C74" s="780" t="s">
        <v>1439</v>
      </c>
      <c r="D74" s="778"/>
      <c r="E74" s="778"/>
      <c r="F74" s="778"/>
      <c r="G74" s="778">
        <v>2000</v>
      </c>
      <c r="H74" s="779"/>
      <c r="J74" s="416"/>
      <c r="K74" s="416"/>
      <c r="L74" s="416"/>
      <c r="M74" s="416"/>
    </row>
    <row r="75" spans="1:13" s="476" customFormat="1" x14ac:dyDescent="0.25">
      <c r="A75" s="460"/>
      <c r="B75" s="760" t="s">
        <v>1438</v>
      </c>
      <c r="C75" s="777" t="s">
        <v>1440</v>
      </c>
      <c r="D75" s="778"/>
      <c r="E75" s="778"/>
      <c r="F75" s="778"/>
      <c r="G75" s="778"/>
      <c r="H75" s="794">
        <f>+F82+G82+H82</f>
        <v>193460</v>
      </c>
      <c r="J75" s="416"/>
      <c r="K75" s="416"/>
      <c r="L75" s="416"/>
      <c r="M75" s="416"/>
    </row>
    <row r="76" spans="1:13" s="476" customFormat="1" ht="18" customHeight="1" thickBot="1" x14ac:dyDescent="0.3">
      <c r="A76" s="460"/>
      <c r="B76" s="762"/>
      <c r="C76" s="781"/>
      <c r="D76" s="782"/>
      <c r="E76" s="782"/>
      <c r="F76" s="782"/>
      <c r="G76" s="782"/>
      <c r="H76" s="783">
        <f>SUM(G67:G74)-SUM(H67:H75)</f>
        <v>-575060</v>
      </c>
      <c r="J76" s="416"/>
      <c r="K76" s="416"/>
      <c r="L76" s="416"/>
      <c r="M76" s="416"/>
    </row>
    <row r="77" spans="1:13" s="476" customFormat="1" ht="13.8" thickBot="1" x14ac:dyDescent="0.3">
      <c r="A77" s="460"/>
      <c r="B77" s="762"/>
      <c r="C77" s="416"/>
      <c r="D77" s="416"/>
      <c r="E77" s="416"/>
      <c r="F77" s="416"/>
      <c r="G77" s="416"/>
      <c r="H77" s="416"/>
      <c r="J77" s="416"/>
      <c r="K77" s="416"/>
      <c r="L77" s="416"/>
      <c r="M77" s="416"/>
    </row>
    <row r="78" spans="1:13" s="476" customFormat="1" x14ac:dyDescent="0.25">
      <c r="A78" s="460"/>
      <c r="B78" s="762"/>
      <c r="C78" s="764"/>
      <c r="D78" s="765"/>
      <c r="E78" s="765"/>
      <c r="F78" s="766" t="s">
        <v>1423</v>
      </c>
      <c r="G78" s="766" t="s">
        <v>1428</v>
      </c>
      <c r="H78" s="767" t="s">
        <v>1382</v>
      </c>
      <c r="J78" s="416"/>
      <c r="K78" s="416"/>
      <c r="L78" s="416"/>
      <c r="M78" s="416"/>
    </row>
    <row r="79" spans="1:13" s="476" customFormat="1" x14ac:dyDescent="0.25">
      <c r="A79" s="460"/>
      <c r="B79" s="762"/>
      <c r="C79" s="768"/>
      <c r="D79" s="769" t="s">
        <v>1424</v>
      </c>
      <c r="E79" s="769"/>
      <c r="F79" s="769">
        <v>400000</v>
      </c>
      <c r="G79" s="769">
        <v>200000</v>
      </c>
      <c r="H79" s="770">
        <v>15000</v>
      </c>
      <c r="J79" s="416"/>
      <c r="K79" s="416"/>
      <c r="L79" s="416"/>
      <c r="M79" s="416"/>
    </row>
    <row r="80" spans="1:13" s="476" customFormat="1" x14ac:dyDescent="0.25">
      <c r="A80" s="460"/>
      <c r="B80" s="762"/>
      <c r="C80" s="768"/>
      <c r="D80" s="769" t="s">
        <v>1425</v>
      </c>
      <c r="E80" s="769"/>
      <c r="F80" s="769">
        <v>40000</v>
      </c>
      <c r="G80" s="769">
        <v>10000</v>
      </c>
      <c r="H80" s="770">
        <v>0</v>
      </c>
      <c r="J80" s="416"/>
      <c r="K80" s="416"/>
      <c r="L80" s="416"/>
      <c r="M80" s="416"/>
    </row>
    <row r="81" spans="1:13" s="476" customFormat="1" x14ac:dyDescent="0.25">
      <c r="A81" s="460"/>
      <c r="B81" s="762"/>
      <c r="C81" s="771"/>
      <c r="D81" s="769" t="s">
        <v>1426</v>
      </c>
      <c r="E81" s="769"/>
      <c r="F81" s="769"/>
      <c r="G81" s="769"/>
      <c r="H81" s="796">
        <v>400</v>
      </c>
      <c r="J81" s="416"/>
      <c r="K81" s="416"/>
      <c r="L81" s="416"/>
      <c r="M81" s="416"/>
    </row>
    <row r="82" spans="1:13" s="476" customFormat="1" ht="13.8" thickBot="1" x14ac:dyDescent="0.3">
      <c r="A82" s="460"/>
      <c r="B82" s="762"/>
      <c r="C82" s="800">
        <f>F82+G82+H82</f>
        <v>193460</v>
      </c>
      <c r="D82" s="772" t="s">
        <v>1427</v>
      </c>
      <c r="E82" s="772"/>
      <c r="F82" s="772">
        <f>(F79+F80)*0.15</f>
        <v>66000</v>
      </c>
      <c r="G82" s="772">
        <f>(G79+G80)*0.6</f>
        <v>126000</v>
      </c>
      <c r="H82" s="773">
        <f>(H79-H81)*0.1</f>
        <v>1460</v>
      </c>
      <c r="J82" s="416"/>
      <c r="K82" s="416"/>
      <c r="L82" s="416"/>
      <c r="M82" s="416"/>
    </row>
    <row r="83" spans="1:13" s="476" customFormat="1" x14ac:dyDescent="0.25">
      <c r="A83" s="460"/>
      <c r="B83" s="762"/>
      <c r="C83" s="416"/>
      <c r="D83" s="682"/>
      <c r="E83" s="682"/>
      <c r="F83" s="795">
        <v>0.15</v>
      </c>
      <c r="G83" s="795">
        <v>0.6</v>
      </c>
      <c r="H83" s="795">
        <v>0.1</v>
      </c>
      <c r="J83" s="416"/>
      <c r="K83" s="416"/>
      <c r="L83" s="416"/>
      <c r="M83" s="416"/>
    </row>
    <row r="84" spans="1:13" s="476" customFormat="1" x14ac:dyDescent="0.25">
      <c r="A84" s="460"/>
      <c r="B84" s="762"/>
      <c r="C84" s="416"/>
      <c r="D84" s="682"/>
      <c r="E84" s="682"/>
      <c r="F84" s="682"/>
      <c r="G84" s="682"/>
      <c r="H84" s="682"/>
      <c r="J84" s="416"/>
      <c r="K84" s="416"/>
      <c r="L84" s="416"/>
      <c r="M84" s="416"/>
    </row>
    <row r="85" spans="1:13" s="476" customFormat="1" x14ac:dyDescent="0.25">
      <c r="A85" s="460"/>
      <c r="B85" s="416"/>
      <c r="C85" s="798" t="s">
        <v>1447</v>
      </c>
      <c r="D85" s="416"/>
      <c r="E85" s="416"/>
      <c r="F85" s="803" t="s">
        <v>1446</v>
      </c>
      <c r="G85" s="416"/>
      <c r="H85" s="416"/>
      <c r="J85" s="416"/>
      <c r="K85" s="416"/>
      <c r="L85" s="416"/>
      <c r="M85" s="416"/>
    </row>
    <row r="86" spans="1:13" x14ac:dyDescent="0.25">
      <c r="B86" s="799"/>
      <c r="C86" s="799" t="s">
        <v>1441</v>
      </c>
      <c r="E86" s="799"/>
      <c r="G86" s="799"/>
    </row>
    <row r="87" spans="1:13" x14ac:dyDescent="0.25">
      <c r="C87" s="801" t="s">
        <v>1442</v>
      </c>
      <c r="D87" s="802" t="s">
        <v>1443</v>
      </c>
      <c r="E87" s="799" t="s">
        <v>1445</v>
      </c>
    </row>
    <row r="88" spans="1:13" x14ac:dyDescent="0.25">
      <c r="C88" s="799" t="s">
        <v>1444</v>
      </c>
    </row>
    <row r="90" spans="1:13" ht="15" x14ac:dyDescent="0.25">
      <c r="C90" s="813"/>
      <c r="D90" s="814"/>
      <c r="E90" s="814"/>
      <c r="F90" s="757"/>
      <c r="G90" s="757"/>
    </row>
    <row r="91" spans="1:13" x14ac:dyDescent="0.25">
      <c r="C91" s="816" t="s">
        <v>1404</v>
      </c>
      <c r="D91" s="816"/>
      <c r="E91" s="759"/>
      <c r="F91" s="758"/>
    </row>
    <row r="92" spans="1:13" x14ac:dyDescent="0.25">
      <c r="C92" s="818" t="s">
        <v>1414</v>
      </c>
      <c r="D92" s="759"/>
      <c r="E92" s="840" t="s">
        <v>1460</v>
      </c>
      <c r="F92" s="810">
        <f>+H76</f>
        <v>-575060</v>
      </c>
    </row>
    <row r="93" spans="1:13" x14ac:dyDescent="0.25">
      <c r="C93" s="835" t="s">
        <v>1453</v>
      </c>
      <c r="D93" s="759"/>
      <c r="E93" s="759"/>
      <c r="F93" s="828">
        <f>+H2</f>
        <v>1200000</v>
      </c>
    </row>
    <row r="94" spans="1:13" x14ac:dyDescent="0.25">
      <c r="C94" s="811"/>
      <c r="D94" s="759"/>
      <c r="E94" s="759"/>
      <c r="F94" s="819">
        <f>F92+F93</f>
        <v>624940</v>
      </c>
    </row>
    <row r="95" spans="1:13" x14ac:dyDescent="0.25">
      <c r="C95" s="812" t="s">
        <v>1405</v>
      </c>
      <c r="D95" s="759"/>
      <c r="E95" s="759"/>
      <c r="F95" s="810"/>
    </row>
    <row r="96" spans="1:13" x14ac:dyDescent="0.25">
      <c r="C96" s="811" t="s">
        <v>1402</v>
      </c>
      <c r="D96" s="759"/>
      <c r="E96" s="815">
        <v>270000</v>
      </c>
    </row>
    <row r="97" spans="2:7" x14ac:dyDescent="0.25">
      <c r="C97" s="811" t="s">
        <v>1403</v>
      </c>
      <c r="D97" s="759"/>
      <c r="E97" s="820">
        <f>(F94-300000)*0.6</f>
        <v>194964</v>
      </c>
      <c r="F97" s="416">
        <f>E96+E97</f>
        <v>464964</v>
      </c>
    </row>
    <row r="98" spans="2:7" x14ac:dyDescent="0.25">
      <c r="C98" s="811" t="s">
        <v>1406</v>
      </c>
      <c r="D98" s="759"/>
      <c r="E98" s="759"/>
      <c r="F98" s="810"/>
    </row>
    <row r="99" spans="2:7" x14ac:dyDescent="0.25">
      <c r="C99" s="821" t="s">
        <v>1407</v>
      </c>
      <c r="D99" s="822"/>
      <c r="E99" s="822"/>
      <c r="F99" s="829">
        <f>F93-F97</f>
        <v>735036</v>
      </c>
    </row>
    <row r="100" spans="2:7" x14ac:dyDescent="0.25">
      <c r="D100" s="758"/>
      <c r="E100" s="758"/>
      <c r="F100" s="758"/>
      <c r="G100" s="758"/>
    </row>
    <row r="101" spans="2:7" x14ac:dyDescent="0.25">
      <c r="B101" s="758"/>
      <c r="C101" s="830" t="s">
        <v>1411</v>
      </c>
      <c r="D101" s="831"/>
      <c r="E101" s="831"/>
      <c r="F101" s="830">
        <f>+F92</f>
        <v>-575060</v>
      </c>
    </row>
    <row r="102" spans="2:7" x14ac:dyDescent="0.25">
      <c r="B102" s="758"/>
      <c r="C102" s="839" t="s">
        <v>1412</v>
      </c>
      <c r="D102" s="831"/>
      <c r="E102" s="831">
        <f>+F97</f>
        <v>464964</v>
      </c>
      <c r="F102" s="830"/>
    </row>
    <row r="103" spans="2:7" x14ac:dyDescent="0.25">
      <c r="B103" s="758"/>
      <c r="C103" s="830" t="s">
        <v>1413</v>
      </c>
      <c r="D103" s="831"/>
      <c r="E103" s="831">
        <f>F101-E102</f>
        <v>-1040024</v>
      </c>
      <c r="F103" s="832">
        <f>F101-F102</f>
        <v>-575060</v>
      </c>
    </row>
    <row r="104" spans="2:7" x14ac:dyDescent="0.25">
      <c r="B104" s="758"/>
      <c r="C104" s="831"/>
      <c r="D104" s="831"/>
      <c r="E104" s="831"/>
      <c r="F104" s="831"/>
    </row>
    <row r="105" spans="2:7" x14ac:dyDescent="0.25">
      <c r="B105" s="758"/>
      <c r="C105" s="831"/>
      <c r="D105" s="831"/>
      <c r="E105" s="831"/>
      <c r="F105" s="831"/>
    </row>
    <row r="106" spans="2:7" x14ac:dyDescent="0.25">
      <c r="B106" s="758"/>
      <c r="C106" s="758"/>
      <c r="D106" s="758"/>
      <c r="E106" s="758"/>
      <c r="F106" s="758"/>
    </row>
  </sheetData>
  <mergeCells count="4">
    <mergeCell ref="B1:H1"/>
    <mergeCell ref="A5:I5"/>
    <mergeCell ref="C52:D52"/>
    <mergeCell ref="C53:D53"/>
  </mergeCells>
  <dataValidations count="1">
    <dataValidation type="list" errorStyle="information" allowBlank="1" showInputMessage="1" showErrorMessage="1" sqref="D7" xr:uid="{00000000-0002-0000-1D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78"/>
  <sheetViews>
    <sheetView zoomScaleNormal="100" workbookViewId="0">
      <selection activeCell="K13" sqref="K13"/>
    </sheetView>
  </sheetViews>
  <sheetFormatPr defaultRowHeight="15" customHeight="1" x14ac:dyDescent="0.25"/>
  <cols>
    <col min="1" max="1" width="17.88671875" customWidth="1"/>
    <col min="2" max="2" width="12.6640625" customWidth="1"/>
    <col min="3" max="3" width="13" customWidth="1"/>
    <col min="4" max="4" width="12" customWidth="1"/>
    <col min="5" max="5" width="12.5546875" customWidth="1"/>
    <col min="6" max="6" width="12.6640625" customWidth="1"/>
    <col min="7" max="7" width="12.88671875" customWidth="1"/>
    <col min="8" max="8" width="10.33203125" customWidth="1"/>
    <col min="9" max="9" width="13.88671875" customWidth="1"/>
  </cols>
  <sheetData>
    <row r="1" spans="1:9" ht="17.25" customHeight="1" x14ac:dyDescent="0.25">
      <c r="A1" s="66" t="s">
        <v>574</v>
      </c>
      <c r="H1" s="65" t="s">
        <v>594</v>
      </c>
      <c r="I1" s="49">
        <f>ROUND(H11+H18+H24,0)*0</f>
        <v>0</v>
      </c>
    </row>
    <row r="2" spans="1:9" ht="15" customHeight="1" x14ac:dyDescent="0.25">
      <c r="A2" s="53" t="s">
        <v>575</v>
      </c>
      <c r="E2" s="68">
        <f>+SBR!H68</f>
        <v>146301</v>
      </c>
    </row>
    <row r="3" spans="1:9" ht="15" customHeight="1" x14ac:dyDescent="0.25">
      <c r="A3" s="53" t="s">
        <v>576</v>
      </c>
      <c r="E3" s="68">
        <f>SUM(SBR!B73:B75)</f>
        <v>148780</v>
      </c>
    </row>
    <row r="4" spans="1:9" ht="15" customHeight="1" thickBot="1" x14ac:dyDescent="0.3">
      <c r="A4" s="53" t="s">
        <v>577</v>
      </c>
      <c r="E4" s="54">
        <f>IF(E3&gt;E2,0,E2-E3)</f>
        <v>0</v>
      </c>
    </row>
    <row r="5" spans="1:9" ht="15" customHeight="1" thickTop="1" x14ac:dyDescent="0.25">
      <c r="A5" s="55" t="s">
        <v>805</v>
      </c>
      <c r="E5" s="56">
        <f>IF(E4&gt;10000,E4,0)</f>
        <v>0</v>
      </c>
      <c r="H5" s="57" t="s">
        <v>578</v>
      </c>
    </row>
    <row r="6" spans="1:9" s="58" customFormat="1" ht="15" customHeight="1" x14ac:dyDescent="0.25">
      <c r="A6" s="58" t="s">
        <v>596</v>
      </c>
      <c r="B6" s="58" t="s">
        <v>398</v>
      </c>
      <c r="C6" s="58" t="s">
        <v>579</v>
      </c>
      <c r="D6" s="58" t="s">
        <v>580</v>
      </c>
      <c r="E6" s="58" t="s">
        <v>581</v>
      </c>
      <c r="F6" s="58" t="s">
        <v>582</v>
      </c>
      <c r="G6" s="58" t="s">
        <v>583</v>
      </c>
      <c r="H6" s="58" t="s">
        <v>584</v>
      </c>
    </row>
    <row r="7" spans="1:9" ht="15" customHeight="1" x14ac:dyDescent="0.25">
      <c r="A7" s="376">
        <v>42261</v>
      </c>
      <c r="B7" s="397">
        <v>20000</v>
      </c>
      <c r="C7" s="59" t="s">
        <v>585</v>
      </c>
      <c r="D7" s="376">
        <v>42262</v>
      </c>
      <c r="E7" s="48">
        <f>E5*0.3</f>
        <v>0</v>
      </c>
      <c r="F7" s="48">
        <f>ROUNDDOWN(+E7,-2)</f>
        <v>0</v>
      </c>
      <c r="G7" s="48">
        <f>(F7-B7)</f>
        <v>-20000</v>
      </c>
      <c r="H7" s="48">
        <f>IF(G7&gt;0,G7*0.12/12*3,0)</f>
        <v>0</v>
      </c>
    </row>
    <row r="8" spans="1:9" ht="15" customHeight="1" x14ac:dyDescent="0.25">
      <c r="A8" s="376"/>
      <c r="B8" s="397"/>
      <c r="C8" s="59" t="s">
        <v>586</v>
      </c>
      <c r="D8" s="376">
        <v>42353</v>
      </c>
      <c r="E8" s="48">
        <f>E5*0.6</f>
        <v>0</v>
      </c>
      <c r="F8" s="48">
        <f>ROUNDDOWN(+E8,-2)</f>
        <v>0</v>
      </c>
      <c r="G8" s="48">
        <f>(F8-(B7+B8))</f>
        <v>-20000</v>
      </c>
      <c r="H8" s="48">
        <f>IF(G8&gt;0,G8*0.12/12*3,0)</f>
        <v>0</v>
      </c>
    </row>
    <row r="9" spans="1:9" ht="15" customHeight="1" x14ac:dyDescent="0.25">
      <c r="A9" s="376"/>
      <c r="B9" s="397"/>
      <c r="C9" s="59" t="s">
        <v>587</v>
      </c>
      <c r="D9" s="376">
        <v>42444</v>
      </c>
      <c r="E9" s="48">
        <f>E5*1</f>
        <v>0</v>
      </c>
      <c r="F9" s="48">
        <f>ROUNDDOWN(+E9,-2)</f>
        <v>0</v>
      </c>
      <c r="G9" s="48">
        <f>(F9-(B7+B8+B9))</f>
        <v>-20000</v>
      </c>
      <c r="H9" s="48">
        <f>IF(G9&gt;0,G9*0.12/12,0)</f>
        <v>0</v>
      </c>
    </row>
    <row r="10" spans="1:9" ht="15" customHeight="1" x14ac:dyDescent="0.25">
      <c r="A10" s="376"/>
      <c r="B10" s="397"/>
      <c r="C10" s="59" t="s">
        <v>593</v>
      </c>
      <c r="D10" s="376">
        <v>42460</v>
      </c>
      <c r="E10" s="67"/>
      <c r="F10" s="48"/>
      <c r="G10" s="48"/>
      <c r="H10" s="48"/>
    </row>
    <row r="11" spans="1:9" ht="15" customHeight="1" thickBot="1" x14ac:dyDescent="0.3">
      <c r="B11" s="129">
        <f>SUM(B7:B10)</f>
        <v>20000</v>
      </c>
      <c r="H11" s="60">
        <f>SUM(H7:H10)*0</f>
        <v>0</v>
      </c>
    </row>
    <row r="12" spans="1:9" ht="15" customHeight="1" thickTop="1" x14ac:dyDescent="0.25">
      <c r="A12" s="66" t="s">
        <v>588</v>
      </c>
      <c r="E12" s="53" t="s">
        <v>507</v>
      </c>
      <c r="G12" s="61"/>
    </row>
    <row r="13" spans="1:9" ht="15" customHeight="1" x14ac:dyDescent="0.25">
      <c r="A13" s="398" t="s">
        <v>577</v>
      </c>
      <c r="E13" s="62">
        <f>+E4</f>
        <v>0</v>
      </c>
      <c r="F13" s="58"/>
      <c r="G13" s="58"/>
    </row>
    <row r="14" spans="1:9" ht="15" customHeight="1" x14ac:dyDescent="0.25">
      <c r="A14" s="398" t="s">
        <v>598</v>
      </c>
      <c r="E14" s="62">
        <f>SUM(B7:B10)</f>
        <v>20000</v>
      </c>
    </row>
    <row r="15" spans="1:9" ht="15" customHeight="1" thickBot="1" x14ac:dyDescent="0.3">
      <c r="A15" s="398" t="s">
        <v>599</v>
      </c>
      <c r="E15" s="54">
        <f>IF(E14&gt;E13,0,E13-E14)</f>
        <v>0</v>
      </c>
    </row>
    <row r="16" spans="1:9" ht="15" customHeight="1" thickTop="1" x14ac:dyDescent="0.25">
      <c r="A16" s="55" t="s">
        <v>600</v>
      </c>
      <c r="E16" s="56">
        <f>IF(E13&gt;10000,IF(E15&gt;(E13*0.1),E15,0),0)</f>
        <v>0</v>
      </c>
      <c r="H16" s="57" t="s">
        <v>589</v>
      </c>
    </row>
    <row r="17" spans="1:14" ht="15" customHeight="1" x14ac:dyDescent="0.25">
      <c r="A17" s="58" t="s">
        <v>596</v>
      </c>
      <c r="B17" s="58" t="s">
        <v>398</v>
      </c>
      <c r="C17" s="69"/>
      <c r="D17" s="70" t="s">
        <v>596</v>
      </c>
      <c r="E17" s="58" t="s">
        <v>581</v>
      </c>
      <c r="F17" s="58" t="s">
        <v>590</v>
      </c>
      <c r="G17" s="58" t="s">
        <v>582</v>
      </c>
      <c r="H17" s="5" t="s">
        <v>584</v>
      </c>
    </row>
    <row r="18" spans="1:14" ht="15" customHeight="1" thickBot="1" x14ac:dyDescent="0.3">
      <c r="A18" s="401"/>
      <c r="B18" s="399"/>
      <c r="C18" s="47"/>
      <c r="D18" s="377">
        <v>42582</v>
      </c>
      <c r="E18" s="62">
        <f>+E16</f>
        <v>0</v>
      </c>
      <c r="F18" s="71">
        <v>4</v>
      </c>
      <c r="G18" s="48">
        <f>ROUNDDOWN(+E18,-2)</f>
        <v>0</v>
      </c>
      <c r="H18" s="63">
        <f>IF(E16&gt;0,G18*0.12/12*F18,0)*0</f>
        <v>0</v>
      </c>
    </row>
    <row r="19" spans="1:14" ht="15" customHeight="1" thickTop="1" x14ac:dyDescent="0.25">
      <c r="A19" s="66" t="s">
        <v>591</v>
      </c>
      <c r="E19" s="53" t="s">
        <v>1030</v>
      </c>
    </row>
    <row r="20" spans="1:14" ht="15" customHeight="1" x14ac:dyDescent="0.25">
      <c r="A20" s="398" t="s">
        <v>575</v>
      </c>
      <c r="E20" s="64">
        <f>+E2</f>
        <v>146301</v>
      </c>
    </row>
    <row r="21" spans="1:14" ht="15" customHeight="1" x14ac:dyDescent="0.25">
      <c r="A21" s="398" t="s">
        <v>576</v>
      </c>
      <c r="E21" s="64">
        <f>+E3+E14</f>
        <v>168780</v>
      </c>
    </row>
    <row r="22" spans="1:14" ht="15" customHeight="1" thickBot="1" x14ac:dyDescent="0.3">
      <c r="A22" s="55" t="s">
        <v>592</v>
      </c>
      <c r="E22" s="54">
        <f>IF(E21&gt;E20,0,E20-E21)</f>
        <v>0</v>
      </c>
      <c r="H22" s="57" t="s">
        <v>595</v>
      </c>
    </row>
    <row r="23" spans="1:14" ht="15" customHeight="1" thickTop="1" x14ac:dyDescent="0.25">
      <c r="A23" s="58" t="s">
        <v>596</v>
      </c>
      <c r="B23" s="58" t="s">
        <v>398</v>
      </c>
      <c r="D23" s="402" t="s">
        <v>597</v>
      </c>
      <c r="E23" s="58" t="s">
        <v>581</v>
      </c>
      <c r="F23" s="58" t="s">
        <v>590</v>
      </c>
      <c r="G23" s="58" t="s">
        <v>582</v>
      </c>
      <c r="H23" s="5" t="s">
        <v>584</v>
      </c>
    </row>
    <row r="24" spans="1:14" ht="15" customHeight="1" thickBot="1" x14ac:dyDescent="0.3">
      <c r="A24" s="401"/>
      <c r="B24" s="399"/>
      <c r="D24" s="377">
        <v>42582</v>
      </c>
      <c r="E24" s="56">
        <f>+E22</f>
        <v>0</v>
      </c>
      <c r="F24" s="71">
        <v>0</v>
      </c>
      <c r="G24" s="48">
        <f>ROUNDDOWN(+E24,-2)</f>
        <v>0</v>
      </c>
      <c r="H24" s="63">
        <f>(G24*0.12/12*F24)*0</f>
        <v>0</v>
      </c>
    </row>
    <row r="25" spans="1:14" ht="15" customHeight="1" thickTop="1" x14ac:dyDescent="0.25"/>
    <row r="26" spans="1:14" ht="24" customHeight="1" x14ac:dyDescent="0.25">
      <c r="A26" s="584"/>
      <c r="B26" s="1385" t="s">
        <v>1045</v>
      </c>
      <c r="C26" s="1385"/>
      <c r="D26" s="1385"/>
      <c r="E26" s="1385"/>
      <c r="F26" s="1385"/>
      <c r="G26" s="1385"/>
      <c r="H26" s="1385"/>
      <c r="I26" s="1385"/>
    </row>
    <row r="27" spans="1:14" ht="24" customHeight="1" x14ac:dyDescent="0.25">
      <c r="A27" s="585"/>
      <c r="B27" s="1384" t="s">
        <v>1046</v>
      </c>
      <c r="C27" s="1384"/>
      <c r="D27" s="1384"/>
      <c r="E27" s="1384"/>
      <c r="F27" s="1384"/>
      <c r="G27" s="1384"/>
      <c r="H27" s="1384"/>
      <c r="I27" s="1384"/>
      <c r="J27" s="1384"/>
      <c r="K27" s="1384"/>
      <c r="L27" s="1384"/>
      <c r="M27" s="1384"/>
      <c r="N27" s="1384"/>
    </row>
    <row r="28" spans="1:14" ht="24" customHeight="1" x14ac:dyDescent="0.25">
      <c r="A28" s="585"/>
      <c r="B28" s="1384" t="s">
        <v>1047</v>
      </c>
      <c r="C28" s="1384"/>
      <c r="D28" s="1384"/>
      <c r="E28" s="1384"/>
      <c r="F28" s="1384"/>
      <c r="G28" s="1384"/>
      <c r="H28" s="1384"/>
      <c r="I28" s="1384"/>
      <c r="J28" s="1384"/>
      <c r="K28" s="1384"/>
      <c r="L28" s="1384"/>
      <c r="M28" s="1384"/>
      <c r="N28" s="1384"/>
    </row>
    <row r="29" spans="1:14" ht="24" customHeight="1" x14ac:dyDescent="0.25">
      <c r="A29" s="585"/>
      <c r="B29" s="1384" t="s">
        <v>1048</v>
      </c>
      <c r="C29" s="1384"/>
      <c r="D29" s="1384"/>
      <c r="E29" s="1384"/>
      <c r="F29" s="1384"/>
      <c r="G29" s="1384"/>
      <c r="H29" s="1384"/>
      <c r="I29" s="1384"/>
      <c r="J29" s="1384"/>
      <c r="K29" s="1384"/>
      <c r="L29" s="1384"/>
      <c r="M29" s="1384"/>
      <c r="N29" s="1384"/>
    </row>
    <row r="30" spans="1:14" ht="27.75" customHeight="1" x14ac:dyDescent="0.25">
      <c r="A30" s="585"/>
      <c r="B30" s="1384" t="s">
        <v>1049</v>
      </c>
      <c r="C30" s="1384"/>
      <c r="D30" s="1384"/>
      <c r="E30" s="1384"/>
      <c r="F30" s="1384"/>
      <c r="G30" s="1384"/>
      <c r="H30" s="1384"/>
      <c r="I30" s="1384"/>
      <c r="J30" s="1384"/>
      <c r="K30" s="1384"/>
      <c r="L30" s="1384"/>
      <c r="M30" s="1384"/>
      <c r="N30" s="1384"/>
    </row>
    <row r="31" spans="1:14" ht="24" customHeight="1" x14ac:dyDescent="0.25">
      <c r="A31" s="585"/>
      <c r="B31" s="1384" t="s">
        <v>1052</v>
      </c>
      <c r="C31" s="1384"/>
      <c r="D31" s="1384"/>
      <c r="E31" s="1384"/>
      <c r="F31" s="1384"/>
      <c r="G31" s="1384"/>
      <c r="H31" s="1384"/>
      <c r="I31" s="1384"/>
      <c r="J31" s="1384"/>
      <c r="K31" s="1384"/>
      <c r="L31" s="1384"/>
      <c r="M31" s="1384"/>
      <c r="N31" s="1384"/>
    </row>
    <row r="32" spans="1:14" ht="24" customHeight="1" x14ac:dyDescent="0.25">
      <c r="A32" s="585"/>
      <c r="B32" s="1384" t="s">
        <v>1051</v>
      </c>
      <c r="C32" s="1384"/>
      <c r="D32" s="1384"/>
      <c r="E32" s="1384"/>
      <c r="F32" s="1384"/>
      <c r="G32" s="1384"/>
      <c r="H32" s="1384"/>
      <c r="I32" s="1384"/>
      <c r="J32" s="1384"/>
      <c r="K32" s="1384"/>
      <c r="L32" s="1384"/>
      <c r="M32" s="1384"/>
      <c r="N32" s="1384"/>
    </row>
    <row r="33" spans="1:14" ht="44.25" customHeight="1" x14ac:dyDescent="0.25">
      <c r="A33" s="585"/>
      <c r="B33" s="1384" t="s">
        <v>1069</v>
      </c>
      <c r="C33" s="1384"/>
      <c r="D33" s="1384"/>
      <c r="E33" s="1384"/>
      <c r="F33" s="1384"/>
      <c r="G33" s="1384"/>
      <c r="H33" s="1384"/>
      <c r="I33" s="1384"/>
      <c r="J33" s="1384"/>
      <c r="K33" s="1384"/>
      <c r="L33" s="1384"/>
      <c r="M33" s="1384"/>
      <c r="N33" s="1384"/>
    </row>
    <row r="34" spans="1:14" ht="24" customHeight="1" x14ac:dyDescent="0.25">
      <c r="A34" s="585"/>
      <c r="B34" s="1384" t="s">
        <v>1053</v>
      </c>
      <c r="C34" s="1384"/>
      <c r="D34" s="1384"/>
      <c r="E34" s="1384"/>
      <c r="F34" s="1384"/>
      <c r="G34" s="1384"/>
      <c r="H34" s="1384"/>
      <c r="I34" s="1384"/>
      <c r="J34" s="1384"/>
      <c r="K34" s="1384"/>
      <c r="L34" s="1384"/>
      <c r="M34" s="1384"/>
      <c r="N34" s="1384"/>
    </row>
    <row r="35" spans="1:14" ht="24" customHeight="1" x14ac:dyDescent="0.25">
      <c r="A35" s="585"/>
      <c r="B35" s="1384" t="s">
        <v>1066</v>
      </c>
      <c r="C35" s="1384"/>
      <c r="D35" s="1384"/>
      <c r="E35" s="1384"/>
      <c r="F35" s="1384"/>
      <c r="G35" s="1384"/>
      <c r="H35" s="1384"/>
      <c r="I35" s="1384"/>
      <c r="J35" s="1384"/>
      <c r="K35" s="1384"/>
      <c r="L35" s="1384"/>
      <c r="M35" s="1384"/>
      <c r="N35" s="1384"/>
    </row>
    <row r="36" spans="1:14" ht="24" customHeight="1" x14ac:dyDescent="0.25">
      <c r="A36" s="585"/>
      <c r="B36" s="1384" t="s">
        <v>1050</v>
      </c>
      <c r="C36" s="1384"/>
      <c r="D36" s="1384"/>
      <c r="E36" s="1384"/>
      <c r="F36" s="1384"/>
      <c r="G36" s="1384"/>
      <c r="H36" s="1384"/>
      <c r="I36" s="1384"/>
      <c r="J36" s="1384"/>
      <c r="K36" s="1384"/>
      <c r="L36" s="1384"/>
      <c r="M36" s="1384"/>
      <c r="N36" s="1384"/>
    </row>
    <row r="37" spans="1:14" ht="24" customHeight="1" x14ac:dyDescent="0.25">
      <c r="A37" s="585"/>
      <c r="B37" s="1384" t="s">
        <v>1054</v>
      </c>
      <c r="C37" s="1384"/>
      <c r="D37" s="1384"/>
      <c r="E37" s="1384"/>
      <c r="F37" s="1384"/>
      <c r="G37" s="1384"/>
      <c r="H37" s="1384"/>
      <c r="I37" s="1384"/>
      <c r="J37" s="1384"/>
      <c r="K37" s="1384"/>
      <c r="L37" s="1384"/>
      <c r="M37" s="1384"/>
      <c r="N37" s="1384"/>
    </row>
    <row r="38" spans="1:14" ht="24" customHeight="1" x14ac:dyDescent="0.25">
      <c r="A38" s="585"/>
      <c r="B38" s="1384" t="s">
        <v>1084</v>
      </c>
      <c r="C38" s="1384"/>
      <c r="D38" s="1384"/>
      <c r="E38" s="1384"/>
      <c r="F38" s="1384"/>
      <c r="G38" s="1384"/>
      <c r="H38" s="1384"/>
      <c r="I38" s="1384"/>
      <c r="J38" s="1384"/>
      <c r="K38" s="1384"/>
      <c r="L38" s="1384"/>
      <c r="M38" s="1384"/>
      <c r="N38" s="1384"/>
    </row>
    <row r="39" spans="1:14" ht="24" customHeight="1" x14ac:dyDescent="0.25">
      <c r="A39" s="585"/>
      <c r="B39" s="1384" t="s">
        <v>1055</v>
      </c>
      <c r="C39" s="1384"/>
      <c r="D39" s="1384"/>
      <c r="E39" s="1384"/>
      <c r="F39" s="1384"/>
      <c r="G39" s="1384"/>
      <c r="H39" s="1384"/>
      <c r="I39" s="1384"/>
      <c r="J39" s="1384"/>
      <c r="K39" s="1384"/>
      <c r="L39" s="1384"/>
      <c r="M39" s="1384"/>
      <c r="N39" s="1384"/>
    </row>
    <row r="40" spans="1:14" ht="24" customHeight="1" x14ac:dyDescent="0.25">
      <c r="A40" s="585"/>
      <c r="B40" s="1384" t="s">
        <v>1056</v>
      </c>
      <c r="C40" s="1384"/>
      <c r="D40" s="1384"/>
      <c r="E40" s="1384"/>
      <c r="F40" s="1384"/>
      <c r="G40" s="1384"/>
      <c r="H40" s="1384"/>
      <c r="I40" s="1384"/>
      <c r="J40" s="1384"/>
      <c r="K40" s="1384"/>
      <c r="L40" s="1384"/>
      <c r="M40" s="1384"/>
      <c r="N40" s="1384"/>
    </row>
    <row r="41" spans="1:14" ht="24" customHeight="1" x14ac:dyDescent="0.25">
      <c r="A41" s="585"/>
      <c r="B41" s="1384" t="s">
        <v>1057</v>
      </c>
      <c r="C41" s="1384"/>
      <c r="D41" s="1384"/>
      <c r="E41" s="1384"/>
      <c r="F41" s="1384"/>
      <c r="G41" s="1384"/>
      <c r="H41" s="1384"/>
      <c r="I41" s="1384"/>
      <c r="J41" s="1384"/>
      <c r="K41" s="1384"/>
      <c r="L41" s="1384"/>
      <c r="M41" s="1384"/>
      <c r="N41" s="1384"/>
    </row>
    <row r="42" spans="1:14" ht="24" customHeight="1" x14ac:dyDescent="0.25">
      <c r="A42" s="585"/>
      <c r="B42" s="1384" t="s">
        <v>1058</v>
      </c>
      <c r="C42" s="1384"/>
      <c r="D42" s="1384"/>
      <c r="E42" s="1384"/>
      <c r="F42" s="1384"/>
      <c r="G42" s="1384"/>
      <c r="H42" s="1384"/>
      <c r="I42" s="1384"/>
      <c r="J42" s="1384"/>
      <c r="K42" s="1384"/>
      <c r="L42" s="1384"/>
      <c r="M42" s="1384"/>
      <c r="N42" s="1384"/>
    </row>
    <row r="43" spans="1:14" ht="24" customHeight="1" x14ac:dyDescent="0.25">
      <c r="A43" s="585"/>
      <c r="B43" s="1384" t="s">
        <v>1059</v>
      </c>
      <c r="C43" s="1384"/>
      <c r="D43" s="1384"/>
      <c r="E43" s="1384"/>
      <c r="F43" s="1384"/>
      <c r="G43" s="1384"/>
      <c r="H43" s="1384"/>
      <c r="I43" s="1384"/>
      <c r="J43" s="1384"/>
      <c r="K43" s="1384"/>
      <c r="L43" s="1384"/>
      <c r="M43" s="1384"/>
      <c r="N43" s="1384"/>
    </row>
    <row r="44" spans="1:14" ht="24" customHeight="1" x14ac:dyDescent="0.25">
      <c r="A44" s="585"/>
      <c r="B44" s="1384" t="s">
        <v>1060</v>
      </c>
      <c r="C44" s="1384"/>
      <c r="D44" s="1384"/>
      <c r="E44" s="1384"/>
      <c r="F44" s="1384"/>
      <c r="G44" s="1384"/>
      <c r="H44" s="1384"/>
      <c r="I44" s="1384"/>
      <c r="J44" s="1384"/>
      <c r="K44" s="1384"/>
      <c r="L44" s="1384"/>
      <c r="M44" s="1384"/>
      <c r="N44" s="1384"/>
    </row>
    <row r="45" spans="1:14" ht="24" customHeight="1" x14ac:dyDescent="0.25">
      <c r="A45" s="585"/>
      <c r="B45" s="1384" t="s">
        <v>1061</v>
      </c>
      <c r="C45" s="1384"/>
      <c r="D45" s="1384"/>
      <c r="E45" s="1384"/>
      <c r="F45" s="1384"/>
      <c r="G45" s="1384"/>
      <c r="H45" s="1384"/>
      <c r="I45" s="1384"/>
      <c r="J45" s="1384"/>
      <c r="K45" s="1384"/>
      <c r="L45" s="1384"/>
      <c r="M45" s="1384"/>
      <c r="N45" s="1384"/>
    </row>
    <row r="46" spans="1:14" ht="24" customHeight="1" x14ac:dyDescent="0.25">
      <c r="A46" s="585"/>
      <c r="B46" s="1384" t="s">
        <v>1062</v>
      </c>
      <c r="C46" s="1384"/>
      <c r="D46" s="1384"/>
      <c r="E46" s="1384"/>
      <c r="F46" s="1384"/>
      <c r="G46" s="1384"/>
      <c r="H46" s="1384"/>
      <c r="I46" s="1384"/>
      <c r="J46" s="1384"/>
      <c r="K46" s="1384"/>
      <c r="L46" s="1384"/>
      <c r="M46" s="1384"/>
      <c r="N46" s="1384"/>
    </row>
    <row r="47" spans="1:14" ht="24" customHeight="1" x14ac:dyDescent="0.25">
      <c r="A47" s="585"/>
      <c r="B47" s="1384" t="s">
        <v>1068</v>
      </c>
      <c r="C47" s="1384"/>
      <c r="D47" s="1384"/>
      <c r="E47" s="1384"/>
      <c r="F47" s="1384"/>
      <c r="G47" s="1384"/>
      <c r="H47" s="1384"/>
      <c r="I47" s="1384"/>
      <c r="J47" s="1384"/>
      <c r="K47" s="1384"/>
      <c r="L47" s="1384"/>
      <c r="M47" s="1384"/>
      <c r="N47" s="1384"/>
    </row>
    <row r="48" spans="1:14" ht="24" customHeight="1" x14ac:dyDescent="0.25">
      <c r="A48" s="585"/>
      <c r="B48" s="1384" t="s">
        <v>1063</v>
      </c>
      <c r="C48" s="1384"/>
      <c r="D48" s="1384"/>
      <c r="E48" s="1384"/>
      <c r="F48" s="1384"/>
      <c r="G48" s="1384"/>
      <c r="H48" s="1384"/>
      <c r="I48" s="1384"/>
      <c r="J48" s="1384"/>
      <c r="K48" s="1384"/>
      <c r="L48" s="1384"/>
      <c r="M48" s="1384"/>
      <c r="N48" s="1384"/>
    </row>
    <row r="49" spans="1:15" ht="24" customHeight="1" x14ac:dyDescent="0.25">
      <c r="A49" s="585"/>
      <c r="B49" s="1384" t="s">
        <v>1064</v>
      </c>
      <c r="C49" s="1384"/>
      <c r="D49" s="1384"/>
      <c r="E49" s="1384"/>
      <c r="F49" s="1384"/>
      <c r="G49" s="1384"/>
      <c r="H49" s="1384"/>
      <c r="I49" s="1384"/>
      <c r="J49" s="1384"/>
      <c r="K49" s="1384"/>
      <c r="L49" s="1384"/>
      <c r="M49" s="1384"/>
      <c r="N49" s="1384"/>
    </row>
    <row r="50" spans="1:15" ht="24" customHeight="1" x14ac:dyDescent="0.25">
      <c r="A50" s="585"/>
      <c r="B50" s="1384" t="s">
        <v>1067</v>
      </c>
      <c r="C50" s="1384"/>
      <c r="D50" s="1384"/>
      <c r="E50" s="1384"/>
      <c r="F50" s="1384"/>
      <c r="G50" s="1384"/>
      <c r="H50" s="1384"/>
      <c r="I50" s="1384"/>
      <c r="J50" s="1384"/>
      <c r="K50" s="1384"/>
      <c r="L50" s="1384"/>
      <c r="M50" s="1384"/>
      <c r="N50" s="1384"/>
    </row>
    <row r="51" spans="1:15" ht="24" customHeight="1" x14ac:dyDescent="0.25">
      <c r="A51" s="585"/>
      <c r="B51" s="1384" t="s">
        <v>1065</v>
      </c>
      <c r="C51" s="1384"/>
      <c r="D51" s="1384"/>
      <c r="E51" s="1384"/>
      <c r="F51" s="1384"/>
      <c r="G51" s="1384"/>
      <c r="H51" s="1384"/>
      <c r="I51" s="1384"/>
      <c r="J51" s="1384"/>
      <c r="K51" s="1384"/>
      <c r="L51" s="1384"/>
      <c r="M51" s="1384"/>
      <c r="N51" s="1384"/>
    </row>
    <row r="52" spans="1:15" ht="24" customHeight="1" x14ac:dyDescent="0.25">
      <c r="A52" s="586"/>
      <c r="B52" s="1382"/>
      <c r="C52" s="1382"/>
      <c r="D52" s="1382"/>
      <c r="E52" s="1382"/>
      <c r="F52" s="1382"/>
      <c r="G52" s="1382"/>
      <c r="H52" s="1382"/>
      <c r="I52" s="1382"/>
      <c r="J52" s="1382"/>
      <c r="K52" s="1382"/>
      <c r="L52" s="1382"/>
      <c r="M52" s="1382"/>
      <c r="N52" s="1382"/>
    </row>
    <row r="53" spans="1:15" ht="24" customHeight="1" x14ac:dyDescent="0.25">
      <c r="A53" s="587"/>
      <c r="B53" s="1383" t="s">
        <v>1023</v>
      </c>
      <c r="C53" s="1383"/>
      <c r="D53" s="1383"/>
      <c r="E53" s="1383"/>
      <c r="F53" s="1383"/>
      <c r="G53" s="1383"/>
      <c r="H53" s="1383"/>
      <c r="I53" s="1383"/>
      <c r="J53" s="1383"/>
      <c r="K53" s="1383"/>
      <c r="L53" s="1383"/>
      <c r="M53" s="1383"/>
      <c r="N53" s="1383"/>
      <c r="O53" s="571"/>
    </row>
    <row r="54" spans="1:15" ht="24" customHeight="1" x14ac:dyDescent="0.25">
      <c r="A54" s="587"/>
      <c r="B54" s="1382" t="s">
        <v>1025</v>
      </c>
      <c r="C54" s="1382"/>
      <c r="D54" s="1382"/>
      <c r="E54" s="1382"/>
      <c r="F54" s="1382"/>
      <c r="G54" s="1382"/>
      <c r="H54" s="1382"/>
      <c r="I54" s="1382"/>
      <c r="J54" s="1382"/>
      <c r="K54" s="1382"/>
      <c r="L54" s="1382"/>
      <c r="M54" s="1382"/>
      <c r="N54" s="1382"/>
    </row>
    <row r="55" spans="1:15" ht="24" customHeight="1" x14ac:dyDescent="0.25">
      <c r="A55" s="584"/>
      <c r="B55" s="1382" t="s">
        <v>1024</v>
      </c>
      <c r="C55" s="1382"/>
      <c r="D55" s="1382"/>
      <c r="E55" s="1382"/>
      <c r="F55" s="1382"/>
      <c r="G55" s="1382"/>
      <c r="H55" s="1382"/>
      <c r="I55" s="1382"/>
      <c r="J55" s="1382"/>
      <c r="K55" s="1382"/>
      <c r="L55" s="1382"/>
      <c r="M55" s="1382"/>
      <c r="N55" s="1382"/>
    </row>
    <row r="56" spans="1:15" ht="24" customHeight="1" x14ac:dyDescent="0.25">
      <c r="A56" s="584"/>
      <c r="B56" s="1382" t="s">
        <v>1027</v>
      </c>
      <c r="C56" s="1382"/>
      <c r="D56" s="1382"/>
      <c r="E56" s="1382"/>
      <c r="F56" s="1382"/>
      <c r="G56" s="1382"/>
      <c r="H56" s="1382"/>
      <c r="I56" s="1382"/>
      <c r="J56" s="1382"/>
      <c r="K56" s="1382"/>
      <c r="L56" s="1382"/>
      <c r="M56" s="1382"/>
      <c r="N56" s="1382"/>
    </row>
    <row r="57" spans="1:15" ht="24" customHeight="1" x14ac:dyDescent="0.25">
      <c r="A57" s="584"/>
      <c r="B57" s="1382" t="s">
        <v>1087</v>
      </c>
      <c r="C57" s="1382"/>
      <c r="D57" s="1382"/>
      <c r="E57" s="1382"/>
      <c r="F57" s="1382"/>
      <c r="G57" s="1382"/>
      <c r="H57" s="1382"/>
      <c r="I57" s="1382"/>
      <c r="J57" s="1382"/>
      <c r="K57" s="1382"/>
      <c r="L57" s="1382"/>
      <c r="M57" s="1382"/>
      <c r="N57" s="1382"/>
    </row>
    <row r="58" spans="1:15" ht="24" customHeight="1" x14ac:dyDescent="0.25">
      <c r="A58" s="584"/>
      <c r="B58" s="1382" t="s">
        <v>1034</v>
      </c>
      <c r="C58" s="1382"/>
      <c r="D58" s="1382"/>
      <c r="E58" s="1382"/>
      <c r="F58" s="1382"/>
      <c r="G58" s="1382"/>
      <c r="H58" s="1382"/>
      <c r="I58" s="1382"/>
      <c r="J58" s="1382"/>
      <c r="K58" s="1382"/>
      <c r="L58" s="1382"/>
      <c r="M58" s="1382"/>
      <c r="N58" s="1382"/>
    </row>
    <row r="59" spans="1:15" ht="24" customHeight="1" x14ac:dyDescent="0.25">
      <c r="A59" s="584"/>
      <c r="B59" s="1382" t="s">
        <v>1041</v>
      </c>
      <c r="C59" s="1382"/>
      <c r="D59" s="1382"/>
      <c r="E59" s="1382"/>
      <c r="F59" s="1382"/>
      <c r="G59" s="1382"/>
      <c r="H59" s="1382"/>
      <c r="I59" s="1382"/>
      <c r="J59" s="1382"/>
      <c r="K59" s="1382"/>
      <c r="L59" s="1382"/>
      <c r="M59" s="1382"/>
      <c r="N59" s="1382"/>
    </row>
    <row r="60" spans="1:15" ht="24" customHeight="1" x14ac:dyDescent="0.25">
      <c r="A60" s="584"/>
      <c r="B60" s="1382" t="s">
        <v>1072</v>
      </c>
      <c r="C60" s="1382"/>
      <c r="D60" s="1382"/>
      <c r="E60" s="1382"/>
      <c r="F60" s="1382"/>
      <c r="G60" s="1382"/>
      <c r="H60" s="1382"/>
      <c r="I60" s="1382"/>
      <c r="J60" s="1382"/>
      <c r="K60" s="1382"/>
      <c r="L60" s="1382"/>
      <c r="M60" s="1382"/>
      <c r="N60" s="1382"/>
    </row>
    <row r="61" spans="1:15" ht="24" customHeight="1" x14ac:dyDescent="0.25">
      <c r="A61" s="584"/>
      <c r="B61" s="1382" t="s">
        <v>1042</v>
      </c>
      <c r="C61" s="1382"/>
      <c r="D61" s="1382"/>
      <c r="E61" s="1382"/>
      <c r="F61" s="1382"/>
      <c r="G61" s="1382"/>
      <c r="H61" s="1382"/>
      <c r="I61" s="1382"/>
      <c r="J61" s="1382"/>
      <c r="K61" s="1382"/>
      <c r="L61" s="1382"/>
      <c r="M61" s="1382"/>
      <c r="N61" s="1382"/>
    </row>
    <row r="62" spans="1:15" ht="24" customHeight="1" x14ac:dyDescent="0.25">
      <c r="A62" s="584"/>
      <c r="B62" s="1382" t="s">
        <v>1043</v>
      </c>
      <c r="C62" s="1382"/>
      <c r="D62" s="1382"/>
      <c r="E62" s="1382"/>
      <c r="F62" s="1382"/>
      <c r="G62" s="1382"/>
      <c r="H62" s="1382"/>
      <c r="I62" s="1382"/>
      <c r="J62" s="1382"/>
      <c r="K62" s="1382"/>
      <c r="L62" s="1382"/>
      <c r="M62" s="1382"/>
      <c r="N62" s="1382"/>
    </row>
    <row r="63" spans="1:15" ht="24" customHeight="1" x14ac:dyDescent="0.25">
      <c r="A63" s="584"/>
      <c r="B63" s="1382" t="s">
        <v>1035</v>
      </c>
      <c r="C63" s="1382"/>
      <c r="D63" s="1382"/>
      <c r="E63" s="1382"/>
      <c r="F63" s="1382"/>
      <c r="G63" s="1382"/>
      <c r="H63" s="1382"/>
      <c r="I63" s="1382"/>
      <c r="J63" s="1382"/>
      <c r="K63" s="1382"/>
      <c r="L63" s="1382"/>
      <c r="M63" s="1382"/>
      <c r="N63" s="1382"/>
    </row>
    <row r="64" spans="1:15" ht="24" customHeight="1" x14ac:dyDescent="0.25">
      <c r="A64" s="584"/>
      <c r="B64" s="1382" t="s">
        <v>1088</v>
      </c>
      <c r="C64" s="1382"/>
      <c r="D64" s="1382"/>
      <c r="E64" s="1382"/>
      <c r="F64" s="1382"/>
      <c r="G64" s="1382"/>
      <c r="H64" s="1382"/>
      <c r="I64" s="1382"/>
      <c r="J64" s="1382"/>
      <c r="K64" s="1382"/>
      <c r="L64" s="1382"/>
      <c r="M64" s="1382"/>
      <c r="N64" s="1382"/>
    </row>
    <row r="65" spans="1:14" s="267" customFormat="1" ht="24" customHeight="1" x14ac:dyDescent="0.3">
      <c r="A65" s="582"/>
      <c r="B65" s="1382" t="s">
        <v>1036</v>
      </c>
      <c r="C65" s="1382"/>
      <c r="D65" s="1382"/>
      <c r="E65" s="1382"/>
      <c r="F65" s="1382"/>
      <c r="G65" s="1382"/>
      <c r="H65" s="1382"/>
      <c r="I65" s="1382"/>
      <c r="J65" s="1382"/>
      <c r="K65" s="1382"/>
      <c r="L65" s="1382"/>
      <c r="M65" s="1382"/>
      <c r="N65" s="1382"/>
    </row>
    <row r="66" spans="1:14" ht="24" customHeight="1" x14ac:dyDescent="0.25">
      <c r="A66" s="584"/>
      <c r="B66" s="1383" t="s">
        <v>1044</v>
      </c>
      <c r="C66" s="1383"/>
      <c r="D66" s="1383"/>
      <c r="E66" s="1383"/>
      <c r="F66" s="1383"/>
      <c r="G66" s="1383"/>
      <c r="H66" s="1383"/>
      <c r="I66" s="1383"/>
      <c r="J66" s="1383"/>
      <c r="K66" s="1383"/>
      <c r="L66" s="1383"/>
      <c r="M66" s="1383"/>
      <c r="N66" s="1383"/>
    </row>
    <row r="67" spans="1:14" ht="24" customHeight="1" x14ac:dyDescent="0.25">
      <c r="A67" s="584"/>
      <c r="B67" s="1382" t="s">
        <v>1037</v>
      </c>
      <c r="C67" s="1382"/>
      <c r="D67" s="1382"/>
      <c r="E67" s="1382"/>
      <c r="F67" s="1382"/>
      <c r="G67" s="1382"/>
      <c r="H67" s="1382"/>
      <c r="I67" s="1382"/>
      <c r="J67" s="1382"/>
      <c r="K67" s="1382"/>
      <c r="L67" s="1382"/>
      <c r="M67" s="1382"/>
      <c r="N67" s="1382"/>
    </row>
    <row r="68" spans="1:14" ht="24" customHeight="1" x14ac:dyDescent="0.25">
      <c r="A68" s="584"/>
      <c r="B68" s="1382" t="s">
        <v>1038</v>
      </c>
      <c r="C68" s="1382"/>
      <c r="D68" s="1382"/>
      <c r="E68" s="1382"/>
      <c r="F68" s="1382"/>
      <c r="G68" s="1382"/>
      <c r="H68" s="1382"/>
      <c r="I68" s="1382"/>
      <c r="J68" s="1382"/>
      <c r="K68" s="1382"/>
      <c r="L68" s="1382"/>
      <c r="M68" s="1382"/>
      <c r="N68" s="1382"/>
    </row>
    <row r="69" spans="1:14" ht="24" customHeight="1" x14ac:dyDescent="0.25">
      <c r="A69" s="584"/>
      <c r="B69" s="1382" t="s">
        <v>1040</v>
      </c>
      <c r="C69" s="1382"/>
      <c r="D69" s="1382"/>
      <c r="E69" s="1382"/>
      <c r="F69" s="1382"/>
      <c r="G69" s="1382"/>
      <c r="H69" s="1382"/>
      <c r="I69" s="1382"/>
      <c r="J69" s="1382"/>
      <c r="K69" s="1382"/>
      <c r="L69" s="1382"/>
      <c r="M69" s="1382"/>
      <c r="N69" s="1382"/>
    </row>
    <row r="70" spans="1:14" ht="24" customHeight="1" x14ac:dyDescent="0.25">
      <c r="A70" s="584"/>
      <c r="B70" s="1382" t="s">
        <v>1039</v>
      </c>
      <c r="C70" s="1382"/>
      <c r="D70" s="1382"/>
      <c r="E70" s="1382"/>
      <c r="F70" s="1382"/>
      <c r="G70" s="1382"/>
      <c r="H70" s="1382"/>
      <c r="I70" s="1382"/>
      <c r="J70" s="1382"/>
      <c r="K70" s="1382"/>
      <c r="L70" s="1382"/>
      <c r="M70" s="1382"/>
      <c r="N70" s="1382"/>
    </row>
    <row r="71" spans="1:14" ht="24" customHeight="1" x14ac:dyDescent="0.25">
      <c r="A71" s="584"/>
      <c r="B71" s="1382"/>
      <c r="C71" s="1382"/>
      <c r="D71" s="1382"/>
      <c r="E71" s="1382"/>
      <c r="F71" s="1382"/>
      <c r="G71" s="1382"/>
      <c r="H71" s="1382"/>
      <c r="I71" s="1382"/>
      <c r="J71" s="1382"/>
      <c r="K71" s="1382"/>
      <c r="L71" s="1382"/>
      <c r="M71" s="1382"/>
      <c r="N71" s="1382"/>
    </row>
    <row r="72" spans="1:14" ht="24" customHeight="1" x14ac:dyDescent="0.25">
      <c r="A72" s="584"/>
      <c r="B72" s="1382"/>
      <c r="C72" s="1382"/>
      <c r="D72" s="1382"/>
      <c r="E72" s="1382"/>
      <c r="F72" s="1382"/>
      <c r="G72" s="1382"/>
      <c r="H72" s="1382"/>
      <c r="I72" s="1382"/>
      <c r="J72" s="1382"/>
      <c r="K72" s="1382"/>
      <c r="L72" s="1382"/>
      <c r="M72" s="1382"/>
      <c r="N72" s="1382"/>
    </row>
    <row r="73" spans="1:14" ht="24" customHeight="1" x14ac:dyDescent="0.25">
      <c r="A73" s="36"/>
      <c r="B73" s="1382"/>
      <c r="C73" s="1382"/>
      <c r="D73" s="1382"/>
      <c r="E73" s="1382"/>
      <c r="F73" s="1382"/>
      <c r="G73" s="1382"/>
      <c r="H73" s="1382"/>
      <c r="I73" s="1382"/>
      <c r="J73" s="1382"/>
      <c r="K73" s="1382"/>
      <c r="L73" s="1382"/>
      <c r="M73" s="1382"/>
      <c r="N73" s="1382"/>
    </row>
    <row r="74" spans="1:14" ht="24" customHeight="1" x14ac:dyDescent="0.25">
      <c r="A74" s="36"/>
      <c r="B74" s="1382"/>
      <c r="C74" s="1382"/>
      <c r="D74" s="1382"/>
      <c r="E74" s="1382"/>
      <c r="F74" s="1382"/>
      <c r="G74" s="1382"/>
      <c r="H74" s="1382"/>
      <c r="I74" s="1382"/>
      <c r="J74" s="1382"/>
      <c r="K74" s="1382"/>
      <c r="L74" s="1382"/>
      <c r="M74" s="1382"/>
      <c r="N74" s="1382"/>
    </row>
    <row r="75" spans="1:14" ht="24" customHeight="1" x14ac:dyDescent="0.25">
      <c r="A75" s="36"/>
      <c r="B75" s="1382"/>
      <c r="C75" s="1382"/>
      <c r="D75" s="1382"/>
      <c r="E75" s="1382"/>
      <c r="F75" s="1382"/>
      <c r="G75" s="1382"/>
      <c r="H75" s="1382"/>
      <c r="I75" s="1382"/>
      <c r="J75" s="1382"/>
      <c r="K75" s="1382"/>
      <c r="L75" s="1382"/>
      <c r="M75" s="1382"/>
      <c r="N75" s="1382"/>
    </row>
    <row r="76" spans="1:14" ht="24" customHeight="1" x14ac:dyDescent="0.25">
      <c r="A76" s="36"/>
      <c r="B76" s="1382"/>
      <c r="C76" s="1382"/>
      <c r="D76" s="1382"/>
      <c r="E76" s="1382"/>
      <c r="F76" s="1382"/>
      <c r="G76" s="1382"/>
      <c r="H76" s="1382"/>
      <c r="I76" s="1382"/>
      <c r="J76" s="1382"/>
      <c r="K76" s="1382"/>
      <c r="L76" s="1382"/>
      <c r="M76" s="1382"/>
      <c r="N76" s="1382"/>
    </row>
    <row r="77" spans="1:14" ht="24" customHeight="1" x14ac:dyDescent="0.25">
      <c r="A77" s="36"/>
      <c r="B77" s="1382"/>
      <c r="C77" s="1382"/>
      <c r="D77" s="1382"/>
      <c r="E77" s="1382"/>
      <c r="F77" s="1382"/>
      <c r="G77" s="1382"/>
      <c r="H77" s="1382"/>
      <c r="I77" s="1382"/>
      <c r="J77" s="1382"/>
      <c r="K77" s="1382"/>
      <c r="L77" s="1382"/>
      <c r="M77" s="1382"/>
      <c r="N77" s="1382"/>
    </row>
    <row r="78" spans="1:14" ht="24" customHeight="1" x14ac:dyDescent="0.25">
      <c r="A78" s="36"/>
      <c r="B78" s="36"/>
      <c r="C78" s="36"/>
      <c r="D78" s="36"/>
      <c r="E78" s="36"/>
      <c r="F78" s="36"/>
      <c r="G78" s="36"/>
      <c r="H78" s="36"/>
      <c r="I78" s="36"/>
    </row>
  </sheetData>
  <mergeCells count="52">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 ref="B36:N36"/>
    <mergeCell ref="B37:N37"/>
    <mergeCell ref="B38:N38"/>
    <mergeCell ref="B39:N39"/>
    <mergeCell ref="B40:N40"/>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72:N72"/>
    <mergeCell ref="B61:N61"/>
    <mergeCell ref="B62:N62"/>
    <mergeCell ref="B63:N63"/>
    <mergeCell ref="B64:N64"/>
    <mergeCell ref="B65:N65"/>
    <mergeCell ref="B66:N66"/>
    <mergeCell ref="B67:N67"/>
    <mergeCell ref="B68:N68"/>
    <mergeCell ref="B69:N69"/>
    <mergeCell ref="B70:N70"/>
    <mergeCell ref="B71:N71"/>
    <mergeCell ref="B73:N73"/>
    <mergeCell ref="B74:N74"/>
    <mergeCell ref="B75:N75"/>
    <mergeCell ref="B76:N76"/>
    <mergeCell ref="B77:N77"/>
  </mergeCells>
  <phoneticPr fontId="43"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47"/>
  <sheetViews>
    <sheetView showZeros="0" topLeftCell="A34" workbookViewId="0">
      <selection activeCell="A24" sqref="A24:D24"/>
    </sheetView>
  </sheetViews>
  <sheetFormatPr defaultRowHeight="18" customHeight="1" x14ac:dyDescent="0.25"/>
  <cols>
    <col min="1" max="1" width="37" customWidth="1"/>
    <col min="2" max="2" width="12.6640625" customWidth="1"/>
    <col min="3" max="3" width="34.5546875" customWidth="1"/>
    <col min="4" max="4" width="12.6640625" customWidth="1"/>
  </cols>
  <sheetData>
    <row r="1" spans="1:4" ht="18" customHeight="1" x14ac:dyDescent="0.25">
      <c r="A1" s="1386" t="s">
        <v>134</v>
      </c>
      <c r="B1" s="1386"/>
      <c r="C1" s="1386"/>
      <c r="D1" s="1386"/>
    </row>
    <row r="2" spans="1:4" s="329" customFormat="1" ht="18" customHeight="1" x14ac:dyDescent="0.25">
      <c r="A2" s="328" t="s">
        <v>891</v>
      </c>
      <c r="B2" s="328" t="s">
        <v>892</v>
      </c>
      <c r="C2" s="328" t="s">
        <v>893</v>
      </c>
      <c r="D2" s="328" t="s">
        <v>892</v>
      </c>
    </row>
    <row r="3" spans="1:4" s="329" customFormat="1" ht="18" customHeight="1" x14ac:dyDescent="0.25">
      <c r="A3" s="331"/>
      <c r="B3" s="330"/>
      <c r="C3" s="374" t="s">
        <v>72</v>
      </c>
      <c r="D3" s="369"/>
    </row>
    <row r="4" spans="1:4" s="329" customFormat="1" ht="18" customHeight="1" x14ac:dyDescent="0.25">
      <c r="A4" s="344" t="s">
        <v>63</v>
      </c>
      <c r="B4" s="359"/>
      <c r="C4" s="375" t="s">
        <v>61</v>
      </c>
      <c r="D4" s="370"/>
    </row>
    <row r="5" spans="1:4" s="329" customFormat="1" ht="18" customHeight="1" x14ac:dyDescent="0.25">
      <c r="A5" s="344" t="s">
        <v>73</v>
      </c>
      <c r="B5" s="359"/>
      <c r="C5" s="339"/>
      <c r="D5" s="357"/>
    </row>
    <row r="6" spans="1:4" s="329" customFormat="1" ht="18" customHeight="1" x14ac:dyDescent="0.25">
      <c r="A6" s="344" t="s">
        <v>114</v>
      </c>
      <c r="B6" s="359"/>
      <c r="C6" s="339"/>
      <c r="D6" s="357"/>
    </row>
    <row r="7" spans="1:4" s="329" customFormat="1" ht="18" customHeight="1" x14ac:dyDescent="0.25">
      <c r="A7" s="344" t="s">
        <v>115</v>
      </c>
      <c r="B7" s="359"/>
      <c r="C7" s="339"/>
      <c r="D7" s="357"/>
    </row>
    <row r="8" spans="1:4" s="329" customFormat="1" ht="18" customHeight="1" x14ac:dyDescent="0.25">
      <c r="A8" s="344" t="s">
        <v>116</v>
      </c>
      <c r="B8" s="359"/>
      <c r="C8" s="339"/>
      <c r="D8" s="357"/>
    </row>
    <row r="9" spans="1:4" s="329" customFormat="1" ht="18" customHeight="1" x14ac:dyDescent="0.25">
      <c r="A9" s="344" t="s">
        <v>46</v>
      </c>
      <c r="B9" s="359"/>
      <c r="C9" s="339"/>
      <c r="D9" s="357"/>
    </row>
    <row r="10" spans="1:4" s="329" customFormat="1" ht="18" customHeight="1" x14ac:dyDescent="0.25">
      <c r="A10" s="344" t="s">
        <v>621</v>
      </c>
      <c r="B10" s="359"/>
      <c r="C10" s="339"/>
      <c r="D10" s="357"/>
    </row>
    <row r="11" spans="1:4" ht="18" customHeight="1" x14ac:dyDescent="0.25">
      <c r="A11" s="344" t="s">
        <v>143</v>
      </c>
      <c r="B11" s="371"/>
      <c r="C11" s="337"/>
      <c r="D11" s="357"/>
    </row>
    <row r="12" spans="1:4" ht="18" customHeight="1" x14ac:dyDescent="0.25">
      <c r="A12" s="344" t="s">
        <v>551</v>
      </c>
      <c r="B12" s="371"/>
      <c r="C12" s="337"/>
      <c r="D12" s="357"/>
    </row>
    <row r="13" spans="1:4" ht="18" customHeight="1" x14ac:dyDescent="0.25">
      <c r="A13" s="344" t="s">
        <v>175</v>
      </c>
      <c r="B13" s="371"/>
      <c r="C13" s="337"/>
      <c r="D13" s="357"/>
    </row>
    <row r="14" spans="1:4" ht="18" customHeight="1" x14ac:dyDescent="0.25">
      <c r="A14" s="344" t="s">
        <v>75</v>
      </c>
      <c r="B14" s="371"/>
      <c r="C14" s="337"/>
      <c r="D14" s="357"/>
    </row>
    <row r="15" spans="1:4" ht="18" customHeight="1" x14ac:dyDescent="0.25">
      <c r="A15" s="344" t="s">
        <v>76</v>
      </c>
      <c r="B15" s="371"/>
      <c r="C15" s="337"/>
      <c r="D15" s="357"/>
    </row>
    <row r="16" spans="1:4" ht="18" customHeight="1" x14ac:dyDescent="0.25">
      <c r="A16" s="344" t="s">
        <v>449</v>
      </c>
      <c r="B16" s="371"/>
      <c r="C16" s="337"/>
      <c r="D16" s="357"/>
    </row>
    <row r="17" spans="1:4" ht="18" customHeight="1" x14ac:dyDescent="0.25">
      <c r="A17" s="344" t="s">
        <v>290</v>
      </c>
      <c r="B17" s="371"/>
      <c r="C17" s="337"/>
      <c r="D17" s="357"/>
    </row>
    <row r="18" spans="1:4" ht="18" customHeight="1" x14ac:dyDescent="0.25">
      <c r="A18" s="344" t="s">
        <v>552</v>
      </c>
      <c r="B18" s="371"/>
      <c r="C18" s="337"/>
      <c r="D18" s="357"/>
    </row>
    <row r="19" spans="1:4" ht="18" customHeight="1" x14ac:dyDescent="0.25">
      <c r="A19" s="344" t="s">
        <v>825</v>
      </c>
      <c r="B19" s="371"/>
      <c r="C19" s="337"/>
      <c r="D19" s="357"/>
    </row>
    <row r="20" spans="1:4" ht="18" customHeight="1" x14ac:dyDescent="0.25">
      <c r="A20" s="344" t="s">
        <v>301</v>
      </c>
      <c r="B20" s="371"/>
      <c r="D20" s="357"/>
    </row>
    <row r="21" spans="1:4" ht="18" customHeight="1" x14ac:dyDescent="0.25">
      <c r="A21" s="372"/>
      <c r="B21" s="366">
        <f>SUM(B3:B20)</f>
        <v>0</v>
      </c>
      <c r="D21" s="357"/>
    </row>
    <row r="22" spans="1:4" ht="18" customHeight="1" x14ac:dyDescent="0.25">
      <c r="A22" s="373" t="s">
        <v>958</v>
      </c>
      <c r="B22" s="367">
        <f>D23-B21</f>
        <v>0</v>
      </c>
      <c r="D22" s="357"/>
    </row>
    <row r="23" spans="1:4" s="336" customFormat="1" ht="18" customHeight="1" thickBot="1" x14ac:dyDescent="0.3">
      <c r="A23" s="333"/>
      <c r="B23" s="334">
        <f>+D23</f>
        <v>0</v>
      </c>
      <c r="C23" s="335"/>
      <c r="D23" s="334">
        <f>SUM(D3:D21)</f>
        <v>0</v>
      </c>
    </row>
    <row r="24" spans="1:4" ht="18" customHeight="1" thickTop="1" x14ac:dyDescent="0.25">
      <c r="A24" s="1386" t="s">
        <v>135</v>
      </c>
      <c r="B24" s="1386"/>
      <c r="C24" s="1386"/>
      <c r="D24" s="1386"/>
    </row>
    <row r="25" spans="1:4" ht="18" customHeight="1" x14ac:dyDescent="0.25">
      <c r="A25" s="328" t="s">
        <v>894</v>
      </c>
      <c r="B25" s="328" t="s">
        <v>892</v>
      </c>
      <c r="C25" s="328" t="s">
        <v>895</v>
      </c>
      <c r="D25" s="328" t="s">
        <v>892</v>
      </c>
    </row>
    <row r="26" spans="1:4" ht="18" customHeight="1" x14ac:dyDescent="0.25">
      <c r="A26" s="343" t="s">
        <v>908</v>
      </c>
      <c r="B26" s="358"/>
      <c r="C26" s="338" t="s">
        <v>935</v>
      </c>
      <c r="D26" s="357"/>
    </row>
    <row r="27" spans="1:4" ht="18" customHeight="1" x14ac:dyDescent="0.25">
      <c r="A27" s="344" t="s">
        <v>909</v>
      </c>
      <c r="B27" s="365">
        <f>B39-SUM((B29:B38))</f>
        <v>0</v>
      </c>
      <c r="C27" s="348" t="s">
        <v>936</v>
      </c>
      <c r="D27" s="362"/>
    </row>
    <row r="28" spans="1:4" ht="18" customHeight="1" x14ac:dyDescent="0.25">
      <c r="A28" s="340"/>
      <c r="B28" s="358"/>
      <c r="C28" s="348" t="s">
        <v>825</v>
      </c>
      <c r="D28" s="363"/>
    </row>
    <row r="29" spans="1:4" ht="18" customHeight="1" x14ac:dyDescent="0.25">
      <c r="A29" s="345" t="s">
        <v>8</v>
      </c>
      <c r="B29" s="358"/>
      <c r="C29" s="338" t="s">
        <v>956</v>
      </c>
      <c r="D29" s="364"/>
    </row>
    <row r="30" spans="1:4" ht="18" customHeight="1" x14ac:dyDescent="0.25">
      <c r="A30" s="344" t="s">
        <v>9</v>
      </c>
      <c r="B30" s="360"/>
      <c r="C30" s="349" t="s">
        <v>970</v>
      </c>
      <c r="D30" s="362"/>
    </row>
    <row r="31" spans="1:4" ht="18" customHeight="1" x14ac:dyDescent="0.25">
      <c r="A31" s="340"/>
      <c r="B31" s="358"/>
      <c r="C31" s="387" t="s">
        <v>959</v>
      </c>
      <c r="D31" s="362"/>
    </row>
    <row r="32" spans="1:4" ht="18" customHeight="1" x14ac:dyDescent="0.25">
      <c r="A32" s="340"/>
      <c r="B32" s="358"/>
      <c r="C32" s="350" t="s">
        <v>549</v>
      </c>
      <c r="D32" s="362"/>
    </row>
    <row r="33" spans="1:5" ht="18" customHeight="1" x14ac:dyDescent="0.25">
      <c r="A33" s="340"/>
      <c r="B33" s="358"/>
      <c r="C33" s="350" t="s">
        <v>410</v>
      </c>
      <c r="D33" s="362"/>
    </row>
    <row r="34" spans="1:5" ht="18" customHeight="1" x14ac:dyDescent="0.25">
      <c r="A34" s="346"/>
      <c r="B34" s="361"/>
      <c r="C34" s="350" t="s">
        <v>411</v>
      </c>
      <c r="D34" s="362"/>
    </row>
    <row r="35" spans="1:5" ht="18" customHeight="1" x14ac:dyDescent="0.25">
      <c r="A35" s="346"/>
      <c r="B35" s="361"/>
      <c r="C35" s="350" t="s">
        <v>977</v>
      </c>
      <c r="D35" s="362"/>
    </row>
    <row r="36" spans="1:5" ht="18" customHeight="1" x14ac:dyDescent="0.25">
      <c r="A36" s="340"/>
      <c r="B36" s="356"/>
      <c r="C36" s="338" t="s">
        <v>2</v>
      </c>
      <c r="D36" s="364"/>
    </row>
    <row r="37" spans="1:5" ht="26.25" customHeight="1" x14ac:dyDescent="0.25">
      <c r="A37" s="341"/>
      <c r="B37" s="342"/>
      <c r="C37" s="388" t="s">
        <v>3</v>
      </c>
      <c r="D37" s="362"/>
    </row>
    <row r="38" spans="1:5" ht="18" customHeight="1" x14ac:dyDescent="0.25">
      <c r="A38" s="347"/>
      <c r="B38" s="332"/>
      <c r="C38" s="351" t="s">
        <v>5</v>
      </c>
      <c r="D38" s="362"/>
    </row>
    <row r="39" spans="1:5" s="336" customFormat="1" ht="18" customHeight="1" thickBot="1" x14ac:dyDescent="0.3">
      <c r="A39" s="333"/>
      <c r="B39" s="368">
        <f>+D39</f>
        <v>0</v>
      </c>
      <c r="C39" s="335"/>
      <c r="D39" s="368">
        <f>SUM(D26:D38)</f>
        <v>0</v>
      </c>
    </row>
    <row r="40" spans="1:5" s="14" customFormat="1" ht="18" customHeight="1" thickTop="1" x14ac:dyDescent="0.25">
      <c r="A40" s="352" t="s">
        <v>883</v>
      </c>
      <c r="B40" s="38" t="s">
        <v>884</v>
      </c>
    </row>
    <row r="41" spans="1:5" s="14" customFormat="1" ht="18" customHeight="1" x14ac:dyDescent="0.25">
      <c r="A41" s="353" t="s">
        <v>885</v>
      </c>
      <c r="B41" s="355" t="s">
        <v>886</v>
      </c>
    </row>
    <row r="42" spans="1:5" s="14" customFormat="1" ht="18" customHeight="1" x14ac:dyDescent="0.25">
      <c r="A42" s="353" t="s">
        <v>887</v>
      </c>
      <c r="B42" s="355" t="s">
        <v>888</v>
      </c>
    </row>
    <row r="43" spans="1:5" s="14" customFormat="1" ht="18" customHeight="1" x14ac:dyDescent="0.25">
      <c r="A43" s="354"/>
      <c r="B43" s="38" t="s">
        <v>889</v>
      </c>
    </row>
    <row r="44" spans="1:5" s="14" customFormat="1" ht="18" customHeight="1" x14ac:dyDescent="0.25">
      <c r="A44" s="353" t="s">
        <v>885</v>
      </c>
      <c r="B44" s="355" t="s">
        <v>620</v>
      </c>
    </row>
    <row r="45" spans="1:5" s="14" customFormat="1" ht="18" customHeight="1" x14ac:dyDescent="0.25">
      <c r="A45" s="353" t="s">
        <v>887</v>
      </c>
      <c r="B45" s="355" t="s">
        <v>890</v>
      </c>
    </row>
    <row r="46" spans="1:5" ht="18" customHeight="1" x14ac:dyDescent="0.25">
      <c r="A46" s="352" t="s">
        <v>481</v>
      </c>
      <c r="B46" s="355" t="s">
        <v>482</v>
      </c>
      <c r="C46" s="14"/>
      <c r="D46" s="14"/>
      <c r="E46" t="s">
        <v>484</v>
      </c>
    </row>
    <row r="47" spans="1:5" ht="18" customHeight="1" x14ac:dyDescent="0.25">
      <c r="B47" s="355" t="s">
        <v>483</v>
      </c>
      <c r="E47" t="s">
        <v>485</v>
      </c>
    </row>
  </sheetData>
  <mergeCells count="2">
    <mergeCell ref="A1:D1"/>
    <mergeCell ref="A24:D24"/>
  </mergeCells>
  <phoneticPr fontId="43"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66"/>
  <sheetViews>
    <sheetView showZeros="0" zoomScale="120" zoomScaleNormal="120" workbookViewId="0">
      <selection activeCell="I38" sqref="I38"/>
    </sheetView>
  </sheetViews>
  <sheetFormatPr defaultRowHeight="13.2" x14ac:dyDescent="0.25"/>
  <cols>
    <col min="1" max="1" width="2.6640625" style="581" customWidth="1"/>
    <col min="2" max="2" width="10.44140625" customWidth="1"/>
    <col min="3" max="3" width="11" customWidth="1"/>
    <col min="4" max="4" width="11.109375" customWidth="1"/>
    <col min="5" max="5" width="14.44140625" customWidth="1"/>
    <col min="6" max="7" width="9" customWidth="1"/>
    <col min="8" max="8" width="12.44140625" customWidth="1"/>
    <col min="9" max="9" width="3.33203125" style="1" customWidth="1"/>
    <col min="13" max="13" width="10.5546875" customWidth="1"/>
    <col min="15" max="15" width="10.6640625" customWidth="1"/>
  </cols>
  <sheetData>
    <row r="1" spans="1:16" s="17" customFormat="1" ht="15.9" customHeight="1" x14ac:dyDescent="0.45">
      <c r="A1" s="576"/>
      <c r="B1" s="1388" t="s">
        <v>1071</v>
      </c>
      <c r="C1" s="1388"/>
      <c r="D1" s="1388"/>
      <c r="E1" s="1388"/>
      <c r="F1" s="1388"/>
      <c r="G1" s="1388"/>
      <c r="H1" s="1388"/>
      <c r="I1" s="1388"/>
    </row>
    <row r="2" spans="1:16" s="36" customFormat="1" ht="15" customHeight="1" x14ac:dyDescent="0.25">
      <c r="A2" s="577"/>
      <c r="B2" s="1389" t="s">
        <v>563</v>
      </c>
      <c r="C2" s="1389"/>
      <c r="D2" s="1389"/>
      <c r="E2" s="1389"/>
      <c r="F2" s="1389"/>
      <c r="G2" s="1389"/>
      <c r="H2" s="1389"/>
      <c r="I2" s="1389"/>
    </row>
    <row r="3" spans="1:16" ht="15" customHeight="1" x14ac:dyDescent="0.25">
      <c r="A3" s="578"/>
      <c r="B3" s="559" t="s">
        <v>513</v>
      </c>
      <c r="C3" s="1"/>
      <c r="D3" s="1"/>
      <c r="E3" s="1"/>
      <c r="F3" s="1"/>
      <c r="G3" s="1"/>
      <c r="H3" s="506" t="s">
        <v>517</v>
      </c>
      <c r="I3" s="544"/>
      <c r="J3" s="36"/>
      <c r="K3" s="36"/>
      <c r="L3" s="36"/>
      <c r="M3" s="36"/>
      <c r="N3" s="36"/>
      <c r="O3" s="36"/>
      <c r="P3" s="36"/>
    </row>
    <row r="4" spans="1:16" ht="15" customHeight="1" x14ac:dyDescent="0.25">
      <c r="A4" s="579"/>
      <c r="B4" s="18"/>
      <c r="C4" s="1387" t="s">
        <v>567</v>
      </c>
      <c r="D4" s="1387"/>
      <c r="E4" s="1"/>
      <c r="F4" s="1"/>
      <c r="G4" s="41"/>
      <c r="H4" s="29"/>
      <c r="I4" s="545"/>
      <c r="J4" s="36"/>
      <c r="K4" s="36"/>
      <c r="L4" s="36"/>
      <c r="M4" s="36"/>
      <c r="N4" s="36"/>
      <c r="O4" s="36"/>
      <c r="P4" s="36"/>
    </row>
    <row r="5" spans="1:16" x14ac:dyDescent="0.25">
      <c r="A5" s="579"/>
      <c r="B5" s="1"/>
      <c r="C5" s="11" t="s">
        <v>525</v>
      </c>
      <c r="D5" s="1"/>
      <c r="E5" s="1"/>
      <c r="F5" s="37"/>
      <c r="G5" s="105"/>
      <c r="H5" s="507">
        <f>G4-G5</f>
        <v>0</v>
      </c>
      <c r="I5" s="134" t="str">
        <f>IF(H5&lt;&gt;0,0,"NIL")</f>
        <v>NIL</v>
      </c>
      <c r="J5" s="36"/>
      <c r="K5" s="36"/>
      <c r="L5" s="36"/>
      <c r="M5" s="36"/>
      <c r="N5" s="36"/>
      <c r="O5" s="36"/>
      <c r="P5" s="36"/>
    </row>
    <row r="6" spans="1:16" ht="15" customHeight="1" x14ac:dyDescent="0.3">
      <c r="A6" s="579"/>
      <c r="B6" s="559" t="s">
        <v>511</v>
      </c>
      <c r="C6" s="1"/>
      <c r="D6" s="27" t="s">
        <v>566</v>
      </c>
      <c r="E6" s="14"/>
      <c r="F6" s="1"/>
      <c r="G6" s="1"/>
      <c r="H6" s="508"/>
      <c r="I6" s="545"/>
      <c r="J6" s="36"/>
      <c r="K6" s="36"/>
      <c r="L6" s="36"/>
      <c r="M6" s="36"/>
      <c r="N6" s="36"/>
      <c r="O6" s="36"/>
      <c r="P6" s="36"/>
    </row>
    <row r="7" spans="1:16" ht="15.75" customHeight="1" x14ac:dyDescent="0.25">
      <c r="A7" s="579"/>
      <c r="B7" s="1"/>
      <c r="C7" s="11" t="s">
        <v>496</v>
      </c>
      <c r="D7" s="1"/>
      <c r="E7" s="1"/>
      <c r="F7" s="1"/>
      <c r="G7" s="14"/>
      <c r="H7" s="29"/>
      <c r="I7" s="545"/>
      <c r="J7" s="36"/>
      <c r="K7" s="36"/>
      <c r="L7" s="36"/>
      <c r="M7" s="36"/>
      <c r="N7" s="36"/>
      <c r="O7" s="36"/>
      <c r="P7" s="36"/>
    </row>
    <row r="8" spans="1:16" x14ac:dyDescent="0.25">
      <c r="A8" s="579"/>
      <c r="B8" s="1"/>
      <c r="C8" s="11" t="s">
        <v>514</v>
      </c>
      <c r="D8" s="1"/>
      <c r="E8" s="1"/>
      <c r="F8" s="1"/>
      <c r="G8" s="502">
        <f>ROUND(G7*0.3,0)</f>
        <v>0</v>
      </c>
      <c r="H8" s="509">
        <f>G7-G8</f>
        <v>0</v>
      </c>
      <c r="I8" s="134" t="str">
        <f>IF(H8&lt;&gt;0,0,"NIL")</f>
        <v>NIL</v>
      </c>
      <c r="J8" s="36"/>
      <c r="K8" s="36"/>
      <c r="L8" s="36"/>
      <c r="M8" s="36"/>
      <c r="N8" s="36"/>
      <c r="O8" s="36"/>
      <c r="P8" s="36"/>
    </row>
    <row r="9" spans="1:16" ht="15" customHeight="1" x14ac:dyDescent="0.25">
      <c r="A9" s="579"/>
      <c r="B9" s="559" t="s">
        <v>502</v>
      </c>
      <c r="C9" s="4"/>
      <c r="D9" s="1"/>
      <c r="E9" s="1"/>
      <c r="F9" s="1"/>
      <c r="G9" s="14"/>
      <c r="H9" s="29"/>
      <c r="I9" s="545"/>
      <c r="J9" s="36"/>
      <c r="K9" s="36"/>
      <c r="L9" s="36"/>
      <c r="M9" s="36"/>
      <c r="N9" s="36"/>
      <c r="O9" s="36"/>
      <c r="P9" s="36"/>
    </row>
    <row r="10" spans="1:16" ht="14.25" customHeight="1" x14ac:dyDescent="0.25">
      <c r="A10" s="579"/>
      <c r="B10" s="18"/>
      <c r="C10" s="408" t="s">
        <v>991</v>
      </c>
      <c r="D10" s="1"/>
      <c r="E10" s="1"/>
      <c r="F10" s="1"/>
      <c r="G10" s="14"/>
      <c r="H10" s="29"/>
      <c r="I10" s="545"/>
      <c r="J10" s="36"/>
      <c r="K10" s="36"/>
      <c r="L10" s="36"/>
      <c r="M10" s="36"/>
      <c r="N10" s="36"/>
      <c r="O10" s="36"/>
      <c r="P10" s="36"/>
    </row>
    <row r="11" spans="1:16" x14ac:dyDescent="0.25">
      <c r="A11" s="579"/>
      <c r="B11" s="1"/>
      <c r="C11" s="408" t="s">
        <v>992</v>
      </c>
      <c r="D11" s="1"/>
      <c r="E11" s="1"/>
      <c r="F11" s="44"/>
      <c r="G11" s="14"/>
      <c r="H11" s="510">
        <f>+SBR!H14</f>
        <v>0</v>
      </c>
      <c r="I11" s="134" t="str">
        <f>IF(H11&lt;&gt;0,0,"NIL")</f>
        <v>NIL</v>
      </c>
      <c r="J11" s="36"/>
      <c r="K11" s="36"/>
      <c r="L11" s="36"/>
      <c r="M11" s="36"/>
      <c r="N11" s="36"/>
      <c r="O11" s="36"/>
      <c r="P11" s="36"/>
    </row>
    <row r="12" spans="1:16" ht="15" customHeight="1" x14ac:dyDescent="0.25">
      <c r="A12" s="579"/>
      <c r="B12" s="559" t="s">
        <v>497</v>
      </c>
      <c r="C12" s="1"/>
      <c r="D12" s="1"/>
      <c r="E12" s="1"/>
      <c r="F12" s="1"/>
      <c r="G12" s="1"/>
      <c r="H12" s="29"/>
      <c r="I12" s="546"/>
      <c r="J12" s="36"/>
      <c r="K12" s="36"/>
      <c r="L12" s="36"/>
      <c r="M12" s="36"/>
      <c r="N12" s="36"/>
      <c r="O12" s="36"/>
      <c r="P12" s="36"/>
    </row>
    <row r="13" spans="1:16" x14ac:dyDescent="0.25">
      <c r="A13" s="579"/>
      <c r="B13" s="1"/>
      <c r="C13" s="11" t="s">
        <v>498</v>
      </c>
      <c r="D13" s="1"/>
      <c r="E13" s="1"/>
      <c r="F13" s="1"/>
      <c r="G13" s="14"/>
      <c r="H13" s="29"/>
      <c r="I13" s="545"/>
      <c r="K13" s="556"/>
      <c r="L13" s="554"/>
      <c r="M13" s="554"/>
      <c r="N13" s="53"/>
      <c r="O13" s="558"/>
      <c r="P13" s="554"/>
    </row>
    <row r="14" spans="1:16" x14ac:dyDescent="0.25">
      <c r="A14" s="579"/>
      <c r="B14" s="1"/>
      <c r="C14" s="11" t="s">
        <v>499</v>
      </c>
      <c r="D14" s="1"/>
      <c r="E14" s="1"/>
      <c r="F14" s="1"/>
      <c r="G14" s="502"/>
      <c r="H14" s="511">
        <f>G13+G14</f>
        <v>0</v>
      </c>
      <c r="I14" s="134" t="str">
        <f>IF(H14&lt;&gt;0,0,"NIL")</f>
        <v>NIL</v>
      </c>
      <c r="K14" s="8"/>
      <c r="L14" s="554"/>
      <c r="M14" s="554"/>
      <c r="N14" s="53"/>
      <c r="O14" s="558"/>
      <c r="P14" s="554"/>
    </row>
    <row r="15" spans="1:16" ht="13.5" customHeight="1" x14ac:dyDescent="0.25">
      <c r="A15" s="578"/>
      <c r="B15" s="559" t="s">
        <v>500</v>
      </c>
      <c r="C15" s="1"/>
      <c r="D15" s="1"/>
      <c r="E15" s="1"/>
      <c r="F15" s="1"/>
      <c r="G15" s="1"/>
      <c r="H15" s="29"/>
      <c r="I15" s="545"/>
      <c r="K15" s="8"/>
      <c r="L15" s="554"/>
      <c r="M15" s="554"/>
      <c r="N15" s="53"/>
      <c r="O15" s="558"/>
      <c r="P15" s="554"/>
    </row>
    <row r="16" spans="1:16" x14ac:dyDescent="0.25">
      <c r="A16" s="579"/>
      <c r="B16" s="18"/>
      <c r="C16" s="8" t="s">
        <v>980</v>
      </c>
      <c r="D16" s="8"/>
      <c r="E16" s="8"/>
      <c r="F16" s="8"/>
      <c r="G16" s="41"/>
      <c r="H16" s="29"/>
      <c r="I16" s="545"/>
      <c r="K16" s="8"/>
      <c r="L16" s="554"/>
      <c r="M16" s="554"/>
      <c r="N16" s="53"/>
      <c r="O16" s="558"/>
      <c r="P16" s="554"/>
    </row>
    <row r="17" spans="1:16" x14ac:dyDescent="0.25">
      <c r="A17" s="579"/>
      <c r="B17" s="18"/>
      <c r="C17" s="8" t="s">
        <v>1000</v>
      </c>
      <c r="D17" s="8"/>
      <c r="E17" s="8"/>
      <c r="F17" s="8"/>
      <c r="G17" s="41"/>
      <c r="H17" s="29"/>
      <c r="I17" s="545"/>
      <c r="K17" s="8"/>
      <c r="L17" s="554"/>
      <c r="M17" s="554"/>
      <c r="N17" s="53"/>
      <c r="O17" s="558"/>
      <c r="P17" s="554"/>
    </row>
    <row r="18" spans="1:16" x14ac:dyDescent="0.25">
      <c r="A18" s="579"/>
      <c r="B18" s="18"/>
      <c r="C18" s="8"/>
      <c r="D18" s="8"/>
      <c r="E18" s="8"/>
      <c r="F18" s="8"/>
      <c r="G18" s="8"/>
      <c r="H18" s="29"/>
      <c r="I18" s="545"/>
      <c r="K18" s="554"/>
      <c r="L18" s="554"/>
      <c r="M18" s="554"/>
      <c r="N18" s="53"/>
      <c r="O18" s="558"/>
      <c r="P18" s="554"/>
    </row>
    <row r="19" spans="1:16" x14ac:dyDescent="0.25">
      <c r="A19" s="579"/>
      <c r="B19" s="18"/>
      <c r="C19" s="8"/>
      <c r="D19" s="8"/>
      <c r="E19" s="8"/>
      <c r="F19" s="8"/>
      <c r="G19" s="8"/>
      <c r="H19" s="29"/>
      <c r="I19" s="545"/>
      <c r="K19" s="8"/>
      <c r="L19" s="12"/>
      <c r="M19" s="554"/>
      <c r="N19" s="53"/>
      <c r="O19" s="558"/>
      <c r="P19" s="554"/>
    </row>
    <row r="20" spans="1:16" x14ac:dyDescent="0.25">
      <c r="A20" s="579"/>
      <c r="B20" s="18"/>
      <c r="C20" s="8"/>
      <c r="D20" s="8"/>
      <c r="E20" s="8"/>
      <c r="F20" s="8"/>
      <c r="G20" s="8"/>
      <c r="H20" s="29"/>
      <c r="I20" s="545"/>
      <c r="K20" s="554"/>
      <c r="L20" s="554"/>
      <c r="M20" s="554"/>
      <c r="N20" s="53"/>
      <c r="O20" s="558"/>
      <c r="P20" s="554"/>
    </row>
    <row r="21" spans="1:16" x14ac:dyDescent="0.25">
      <c r="A21" s="579"/>
      <c r="B21" s="18"/>
      <c r="C21" s="7" t="s">
        <v>1001</v>
      </c>
      <c r="D21" s="8"/>
      <c r="E21" s="8"/>
      <c r="F21" s="8"/>
      <c r="G21" s="465"/>
      <c r="H21" s="29"/>
      <c r="I21" s="545"/>
      <c r="O21" s="53"/>
      <c r="P21" s="554"/>
    </row>
    <row r="22" spans="1:16" ht="13.8" x14ac:dyDescent="0.3">
      <c r="A22" s="579"/>
      <c r="B22" s="18"/>
      <c r="C22" s="7"/>
      <c r="D22" s="24"/>
      <c r="E22" s="24"/>
      <c r="F22" s="24"/>
      <c r="G22" s="14"/>
      <c r="H22" s="29"/>
      <c r="I22" s="134"/>
    </row>
    <row r="23" spans="1:16" ht="14.25" customHeight="1" x14ac:dyDescent="0.3">
      <c r="A23" s="579"/>
      <c r="B23" s="18"/>
      <c r="C23" s="8"/>
      <c r="D23" s="24"/>
      <c r="E23" s="24"/>
      <c r="F23" s="24"/>
      <c r="G23" s="503">
        <f>SUM(G16:G22)</f>
        <v>0</v>
      </c>
      <c r="H23" s="29"/>
      <c r="I23" s="134"/>
    </row>
    <row r="24" spans="1:16" ht="13.5" customHeight="1" x14ac:dyDescent="0.25">
      <c r="A24" s="579"/>
      <c r="B24" s="5"/>
      <c r="C24" s="7"/>
      <c r="D24" s="7"/>
      <c r="E24" s="16"/>
      <c r="F24" s="8"/>
      <c r="G24" s="465"/>
      <c r="H24" s="507">
        <f>+G23</f>
        <v>0</v>
      </c>
      <c r="I24" s="134" t="str">
        <f>IF(H24&lt;&gt;0,0,"NIL")</f>
        <v>NIL</v>
      </c>
    </row>
    <row r="25" spans="1:16" ht="2.1" customHeight="1" x14ac:dyDescent="0.25">
      <c r="A25" s="579"/>
      <c r="B25" s="5"/>
      <c r="C25" s="7"/>
      <c r="D25" s="7"/>
      <c r="E25" s="16"/>
      <c r="F25" s="8"/>
      <c r="G25" s="465"/>
      <c r="H25" s="507"/>
      <c r="I25" s="126"/>
    </row>
    <row r="26" spans="1:16" ht="15" customHeight="1" x14ac:dyDescent="0.25">
      <c r="A26" s="578"/>
      <c r="B26" s="559" t="s">
        <v>501</v>
      </c>
      <c r="C26" s="1"/>
      <c r="D26" s="1"/>
      <c r="E26" s="5"/>
      <c r="F26" s="5"/>
      <c r="G26" s="504"/>
      <c r="H26" s="512">
        <f>SUM(H5:H24)</f>
        <v>0</v>
      </c>
      <c r="I26" s="547"/>
    </row>
    <row r="27" spans="1:16" ht="15" customHeight="1" x14ac:dyDescent="0.25">
      <c r="A27" s="579"/>
      <c r="B27" s="23" t="s">
        <v>516</v>
      </c>
      <c r="C27" s="1"/>
      <c r="D27" s="1"/>
      <c r="E27" s="1"/>
      <c r="F27" s="1"/>
      <c r="G27" s="1"/>
      <c r="H27" s="29"/>
      <c r="I27" s="545"/>
    </row>
    <row r="28" spans="1:16" ht="12.75" customHeight="1" x14ac:dyDescent="0.25">
      <c r="A28" s="579"/>
      <c r="B28" s="19"/>
      <c r="C28" s="400" t="s">
        <v>1002</v>
      </c>
      <c r="D28" s="1"/>
      <c r="E28" s="45"/>
      <c r="F28" s="1"/>
      <c r="G28" s="531"/>
      <c r="H28" s="29"/>
      <c r="I28" s="545"/>
    </row>
    <row r="29" spans="1:16" x14ac:dyDescent="0.25">
      <c r="A29" s="579"/>
      <c r="B29" s="1"/>
      <c r="C29" s="11" t="s">
        <v>568</v>
      </c>
      <c r="D29" s="1"/>
      <c r="E29" s="43"/>
      <c r="F29" s="5"/>
      <c r="G29" s="41"/>
      <c r="H29" s="29"/>
      <c r="I29" s="545"/>
    </row>
    <row r="30" spans="1:16" x14ac:dyDescent="0.25">
      <c r="A30" s="579"/>
      <c r="B30" s="1"/>
      <c r="C30" s="11"/>
      <c r="D30" s="1"/>
      <c r="E30" s="5"/>
      <c r="F30" s="5"/>
      <c r="G30" s="14"/>
      <c r="H30" s="29">
        <f>SUM(G28:G30)</f>
        <v>0</v>
      </c>
      <c r="I30" s="134" t="str">
        <f>IF(H30&lt;&gt;0,0,"NIL")</f>
        <v>NIL</v>
      </c>
    </row>
    <row r="31" spans="1:16" ht="2.1" customHeight="1" x14ac:dyDescent="0.25">
      <c r="A31" s="579"/>
      <c r="B31" s="1"/>
      <c r="C31" s="11"/>
      <c r="D31" s="1"/>
      <c r="E31" s="5"/>
      <c r="F31" s="5"/>
      <c r="G31" s="502"/>
      <c r="H31" s="29"/>
      <c r="I31" s="134"/>
    </row>
    <row r="32" spans="1:16" ht="15" customHeight="1" thickBot="1" x14ac:dyDescent="0.3">
      <c r="A32" s="578"/>
      <c r="B32" s="559" t="s">
        <v>505</v>
      </c>
      <c r="C32" s="1"/>
      <c r="D32" s="32">
        <f>H26-H30</f>
        <v>0</v>
      </c>
      <c r="E32" s="1"/>
      <c r="F32" s="327">
        <f>IF(H32&gt;1031000,0,IF(H32&lt;1000000,0,"Marginal Relief"))</f>
        <v>0</v>
      </c>
      <c r="G32" s="1"/>
      <c r="H32" s="513">
        <f>ROUND((D32/10),0)*10</f>
        <v>0</v>
      </c>
      <c r="I32" s="548" t="str">
        <f>IF(H32&lt;&gt;0,0,"NIL")</f>
        <v>NIL</v>
      </c>
    </row>
    <row r="33" spans="1:9" ht="2.7" customHeight="1" thickTop="1" x14ac:dyDescent="0.25">
      <c r="A33" s="578"/>
      <c r="B33" s="18"/>
      <c r="C33" s="1"/>
      <c r="D33" s="1"/>
      <c r="E33" s="6"/>
      <c r="F33" s="1"/>
      <c r="G33" s="1"/>
      <c r="H33" s="514"/>
      <c r="I33" s="134"/>
    </row>
    <row r="34" spans="1:9" ht="15" customHeight="1" x14ac:dyDescent="0.25">
      <c r="A34" s="579"/>
      <c r="B34" s="559" t="s">
        <v>503</v>
      </c>
      <c r="C34" s="1"/>
      <c r="D34" s="1"/>
      <c r="E34" s="33" t="s">
        <v>521</v>
      </c>
      <c r="F34" s="34" t="s">
        <v>522</v>
      </c>
      <c r="G34" s="33" t="s">
        <v>524</v>
      </c>
      <c r="H34" s="515"/>
      <c r="I34" s="549"/>
    </row>
    <row r="35" spans="1:9" ht="15" customHeight="1" x14ac:dyDescent="0.25">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x14ac:dyDescent="0.25">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x14ac:dyDescent="0.25">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x14ac:dyDescent="0.25">
      <c r="A38" s="579"/>
      <c r="B38" s="31"/>
      <c r="C38" s="11" t="s">
        <v>519</v>
      </c>
      <c r="D38" s="1"/>
      <c r="E38" s="40">
        <f>+G13</f>
        <v>0</v>
      </c>
      <c r="F38" s="35">
        <v>0.15</v>
      </c>
      <c r="G38" s="469">
        <f>ROUND(E38*F38,0)</f>
        <v>0</v>
      </c>
      <c r="H38" s="515"/>
      <c r="I38" s="134"/>
    </row>
    <row r="39" spans="1:9" ht="24.9" hidden="1" customHeight="1" x14ac:dyDescent="0.3">
      <c r="A39" s="579"/>
      <c r="B39" s="23"/>
      <c r="C39" s="1"/>
      <c r="D39" s="1"/>
      <c r="E39" s="1"/>
      <c r="F39" s="25"/>
      <c r="G39" s="46"/>
      <c r="H39" s="515"/>
      <c r="I39" s="134"/>
    </row>
    <row r="40" spans="1:9" ht="15" customHeight="1" x14ac:dyDescent="0.3">
      <c r="A40" s="579"/>
      <c r="B40" s="23"/>
      <c r="C40" s="1"/>
      <c r="D40" s="1"/>
      <c r="E40" s="1"/>
      <c r="F40" s="25"/>
      <c r="G40" s="505">
        <f>SUM(G35:G39)</f>
        <v>0</v>
      </c>
      <c r="H40" s="29"/>
      <c r="I40" s="134"/>
    </row>
    <row r="41" spans="1:9" ht="15" customHeight="1" x14ac:dyDescent="0.25">
      <c r="A41" s="579"/>
      <c r="C41" s="524" t="s">
        <v>1015</v>
      </c>
      <c r="E41" s="5"/>
      <c r="F41" s="1"/>
      <c r="G41" s="527">
        <f>IF(H32&gt;500000,0,IF(G40&gt;2000,2000,G40))</f>
        <v>0</v>
      </c>
      <c r="H41" s="515">
        <f>IF((H38-H39)&gt;0,H38-H39,0)</f>
        <v>0</v>
      </c>
      <c r="I41" s="134" t="str">
        <f>IF(H41&lt;&gt;0,0,"NIL")</f>
        <v>NIL</v>
      </c>
    </row>
    <row r="42" spans="1:9" ht="2.1" customHeight="1" x14ac:dyDescent="0.25">
      <c r="A42" s="579"/>
      <c r="B42" s="21"/>
      <c r="C42" s="1"/>
      <c r="D42" s="10"/>
      <c r="E42" s="5"/>
      <c r="F42" s="1"/>
      <c r="G42" s="5"/>
      <c r="H42" s="515"/>
      <c r="I42" s="134"/>
    </row>
    <row r="43" spans="1:9" ht="12" customHeight="1" x14ac:dyDescent="0.25">
      <c r="A43" s="578"/>
      <c r="B43" s="21" t="s">
        <v>612</v>
      </c>
      <c r="C43" s="1"/>
      <c r="D43" s="5"/>
      <c r="E43" s="5"/>
      <c r="F43" s="5"/>
      <c r="G43" s="5"/>
      <c r="H43" s="516">
        <f>ROUND(H41*0.03,0)</f>
        <v>0</v>
      </c>
      <c r="I43" s="126" t="str">
        <f>IF(H43&lt;&gt;0,0,"NIL")</f>
        <v>NIL</v>
      </c>
    </row>
    <row r="44" spans="1:9" ht="2.1" customHeight="1" x14ac:dyDescent="0.25">
      <c r="A44" s="578"/>
      <c r="B44" s="21"/>
      <c r="C44" s="1"/>
      <c r="D44" s="5"/>
      <c r="E44" s="5"/>
      <c r="F44" s="5"/>
      <c r="G44" s="5"/>
      <c r="H44" s="517"/>
      <c r="I44" s="134"/>
    </row>
    <row r="45" spans="1:9" ht="13.5" customHeight="1" x14ac:dyDescent="0.25">
      <c r="A45" s="578"/>
      <c r="B45" s="559" t="s">
        <v>565</v>
      </c>
      <c r="C45" s="1"/>
      <c r="D45" s="10"/>
      <c r="E45" s="13" t="str">
        <f>IF((H45=0),"NIL",H45)</f>
        <v>NIL</v>
      </c>
      <c r="F45" s="1"/>
      <c r="G45" s="5"/>
      <c r="H45" s="518">
        <f>SUM(H41:H43)</f>
        <v>0</v>
      </c>
      <c r="I45" s="134" t="str">
        <f>IF(H45&lt;&gt;0,0,"NIL")</f>
        <v>NIL</v>
      </c>
    </row>
    <row r="46" spans="1:9" ht="2.1" customHeight="1" x14ac:dyDescent="0.25">
      <c r="A46" s="578"/>
      <c r="B46" s="3"/>
      <c r="C46" s="1"/>
      <c r="D46" s="10"/>
      <c r="E46" s="10"/>
      <c r="F46" s="1"/>
      <c r="G46" s="5"/>
      <c r="H46" s="515"/>
      <c r="I46" s="134"/>
    </row>
    <row r="47" spans="1:9" ht="12" customHeight="1" x14ac:dyDescent="0.25">
      <c r="A47" s="579"/>
      <c r="B47" s="427" t="s">
        <v>1026</v>
      </c>
      <c r="C47" s="5"/>
      <c r="D47" s="5"/>
      <c r="E47" s="5"/>
      <c r="F47" s="5"/>
      <c r="G47" s="5"/>
      <c r="H47" s="528">
        <f>ROUND(IF(H32&gt;10000000,(H45*0.1),0),0)</f>
        <v>0</v>
      </c>
      <c r="I47" s="126" t="str">
        <f>IF(H47&lt;&gt;0,0,"NIL")</f>
        <v>NIL</v>
      </c>
    </row>
    <row r="48" spans="1:9" ht="2.1" customHeight="1" x14ac:dyDescent="0.25">
      <c r="A48" s="579"/>
      <c r="B48" s="2"/>
      <c r="C48" s="5"/>
      <c r="D48" s="5"/>
      <c r="E48" s="5"/>
      <c r="F48" s="5"/>
      <c r="G48" s="5"/>
      <c r="H48" s="519"/>
      <c r="I48" s="550"/>
    </row>
    <row r="49" spans="1:15" ht="14.25" customHeight="1" x14ac:dyDescent="0.25">
      <c r="A49" s="578"/>
      <c r="B49" s="559" t="s">
        <v>504</v>
      </c>
      <c r="C49" s="5"/>
      <c r="D49" s="5"/>
      <c r="E49" s="5"/>
      <c r="F49" s="5"/>
      <c r="G49" s="5"/>
      <c r="H49" s="532">
        <f>H45+H47</f>
        <v>0</v>
      </c>
      <c r="I49" s="134" t="str">
        <f>IF(H49&lt;&gt;0,0,"NIL")</f>
        <v>NIL</v>
      </c>
    </row>
    <row r="50" spans="1:15" ht="2.1" customHeight="1" x14ac:dyDescent="0.25">
      <c r="A50" s="578"/>
      <c r="B50" s="3"/>
      <c r="C50" s="5"/>
      <c r="D50" s="5"/>
      <c r="E50" s="5"/>
      <c r="F50" s="5"/>
      <c r="G50" s="5"/>
      <c r="H50" s="520"/>
      <c r="I50" s="134"/>
    </row>
    <row r="51" spans="1:15" ht="15" customHeight="1" x14ac:dyDescent="0.25">
      <c r="A51" s="579"/>
      <c r="B51" s="21" t="s">
        <v>520</v>
      </c>
      <c r="C51" s="5"/>
      <c r="D51" s="5"/>
      <c r="E51" s="5"/>
      <c r="F51" s="5"/>
      <c r="G51" s="5"/>
      <c r="H51" s="521"/>
      <c r="I51" s="126" t="str">
        <f>IF(H51&lt;&gt;0,0,"NIL")</f>
        <v>NIL</v>
      </c>
    </row>
    <row r="52" spans="1:15" ht="15" customHeight="1" x14ac:dyDescent="0.25">
      <c r="A52" s="579"/>
      <c r="B52" s="559" t="s">
        <v>506</v>
      </c>
      <c r="C52" s="5"/>
      <c r="D52" s="5"/>
      <c r="E52" s="5"/>
      <c r="F52" s="5"/>
      <c r="G52" s="5"/>
      <c r="H52" s="522">
        <f>H49+H51</f>
        <v>0</v>
      </c>
      <c r="I52" s="134" t="str">
        <f>IF(H52&lt;&gt;0,0,"NIL")</f>
        <v>NIL</v>
      </c>
    </row>
    <row r="53" spans="1:15" ht="12.75" customHeight="1" x14ac:dyDescent="0.25">
      <c r="A53" s="579"/>
      <c r="B53" s="22" t="s">
        <v>508</v>
      </c>
      <c r="C53" s="42" t="s">
        <v>556</v>
      </c>
      <c r="D53" s="15"/>
      <c r="E53" s="15"/>
      <c r="F53" s="15"/>
      <c r="G53" s="9"/>
      <c r="H53" s="29"/>
      <c r="I53" s="545"/>
    </row>
    <row r="54" spans="1:15" ht="12.75" customHeight="1" x14ac:dyDescent="0.25">
      <c r="A54" s="579"/>
      <c r="B54" s="1"/>
      <c r="C54" s="28" t="s">
        <v>557</v>
      </c>
      <c r="D54" s="2"/>
      <c r="E54" s="2"/>
      <c r="F54" s="2"/>
      <c r="G54" s="9"/>
      <c r="H54" s="29"/>
      <c r="I54" s="545"/>
    </row>
    <row r="55" spans="1:15" ht="12.75" customHeight="1" x14ac:dyDescent="0.25">
      <c r="A55" s="579"/>
      <c r="B55" s="1"/>
      <c r="C55" s="28" t="s">
        <v>573</v>
      </c>
      <c r="D55" s="2"/>
      <c r="E55" s="2"/>
      <c r="F55" s="2"/>
      <c r="G55" s="9"/>
      <c r="H55" s="29"/>
      <c r="I55" s="545"/>
    </row>
    <row r="56" spans="1:15" ht="12.75" customHeight="1" x14ac:dyDescent="0.25">
      <c r="A56" s="579"/>
      <c r="B56" s="1"/>
      <c r="C56" s="42" t="s">
        <v>561</v>
      </c>
      <c r="D56" s="2"/>
      <c r="E56" s="2"/>
      <c r="F56" s="2"/>
      <c r="G56" s="9"/>
      <c r="H56" s="29">
        <f>SUM(G53:G56)</f>
        <v>0</v>
      </c>
      <c r="I56" s="134" t="str">
        <f>IF(H56&lt;&gt;0,0,"NIL")</f>
        <v>NIL</v>
      </c>
    </row>
    <row r="57" spans="1:15" ht="2.1" customHeight="1" x14ac:dyDescent="0.25">
      <c r="A57" s="579"/>
      <c r="B57" s="1"/>
      <c r="C57" s="7"/>
      <c r="D57" s="2"/>
      <c r="E57" s="2"/>
      <c r="F57" s="2"/>
      <c r="G57" s="9"/>
      <c r="H57" s="29"/>
      <c r="I57" s="134"/>
    </row>
    <row r="58" spans="1:15" ht="18" customHeight="1" thickBot="1" x14ac:dyDescent="0.3">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8" thickTop="1" x14ac:dyDescent="0.25">
      <c r="A59" s="47"/>
      <c r="I59"/>
    </row>
    <row r="60" spans="1:15" x14ac:dyDescent="0.25">
      <c r="A60" s="47"/>
      <c r="B60" s="551" t="s">
        <v>1020</v>
      </c>
      <c r="C60" s="553"/>
      <c r="D60" s="553"/>
      <c r="E60" s="553"/>
      <c r="F60" s="573" t="s">
        <v>559</v>
      </c>
      <c r="G60" s="572" t="s">
        <v>560</v>
      </c>
      <c r="H60" s="571"/>
      <c r="I60" s="571"/>
      <c r="J60" s="571"/>
      <c r="K60" s="571"/>
      <c r="L60" s="571"/>
      <c r="M60" s="571"/>
      <c r="N60" s="571"/>
      <c r="O60" s="571"/>
    </row>
    <row r="61" spans="1:15" x14ac:dyDescent="0.25">
      <c r="B61" s="552" t="s">
        <v>545</v>
      </c>
      <c r="C61" s="8"/>
      <c r="D61" s="8"/>
      <c r="E61" s="555"/>
      <c r="F61" s="561"/>
      <c r="G61" s="53"/>
    </row>
    <row r="62" spans="1:15" x14ac:dyDescent="0.25">
      <c r="B62" s="552" t="s">
        <v>1021</v>
      </c>
      <c r="C62" s="556"/>
      <c r="D62" s="554"/>
      <c r="E62" s="554"/>
      <c r="F62" s="561"/>
      <c r="G62" s="53"/>
    </row>
    <row r="63" spans="1:15" ht="13.5" customHeight="1" x14ac:dyDescent="0.25">
      <c r="B63" s="552" t="s">
        <v>546</v>
      </c>
      <c r="C63" s="8"/>
      <c r="D63" s="554"/>
      <c r="E63" s="554"/>
      <c r="F63" s="560"/>
      <c r="G63" s="557"/>
    </row>
    <row r="64" spans="1:15" x14ac:dyDescent="0.25">
      <c r="B64" s="552" t="s">
        <v>1022</v>
      </c>
      <c r="C64" s="8"/>
      <c r="D64" s="554"/>
      <c r="E64" s="554"/>
      <c r="F64" s="560"/>
      <c r="G64" s="557"/>
    </row>
    <row r="65" spans="2:7" x14ac:dyDescent="0.25">
      <c r="B65" s="552" t="s">
        <v>547</v>
      </c>
      <c r="C65" s="8"/>
      <c r="D65" s="554"/>
      <c r="E65" s="554"/>
      <c r="F65" s="574">
        <f>MIN(F61:F64)</f>
        <v>0</v>
      </c>
      <c r="G65" s="574">
        <f>MIN(G61:G64)</f>
        <v>0</v>
      </c>
    </row>
    <row r="66" spans="2:7" x14ac:dyDescent="0.25">
      <c r="B66" s="552" t="s">
        <v>558</v>
      </c>
      <c r="C66" s="8"/>
      <c r="D66" s="554"/>
      <c r="E66" s="554"/>
      <c r="F66" s="575">
        <f>F63-F65</f>
        <v>0</v>
      </c>
      <c r="G66" s="575">
        <f>G63-G65</f>
        <v>0</v>
      </c>
    </row>
  </sheetData>
  <mergeCells count="3">
    <mergeCell ref="C4:D4"/>
    <mergeCell ref="B1:I1"/>
    <mergeCell ref="B2:I2"/>
  </mergeCells>
  <phoneticPr fontId="43" type="noConversion"/>
  <conditionalFormatting sqref="F38">
    <cfRule type="expression" dxfId="0" priority="1" stopIfTrue="1">
      <formula>"""$E$55=0"""</formula>
    </cfRule>
  </conditionalFormatting>
  <dataValidations count="2">
    <dataValidation type="list" allowBlank="1" showInputMessage="1" showErrorMessage="1" sqref="C4" xr:uid="{00000000-0002-0000-2000-000000000000}">
      <formula1>"SALARY RECEIVED, PENSION RECEIVED"</formula1>
    </dataValidation>
    <dataValidation type="list" showInputMessage="1" showErrorMessage="1" sqref="D6" xr:uid="{00000000-0002-0000-2000-000001000000}">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3"/>
  <sheetViews>
    <sheetView zoomScaleNormal="100" workbookViewId="0"/>
  </sheetViews>
  <sheetFormatPr defaultColWidth="20.6640625" defaultRowHeight="18" customHeight="1" x14ac:dyDescent="0.25"/>
  <cols>
    <col min="1" max="1" width="12" customWidth="1"/>
    <col min="2" max="2" width="20.5546875" customWidth="1"/>
    <col min="3" max="3" width="22" customWidth="1"/>
    <col min="5" max="5" width="26.88671875" customWidth="1"/>
    <col min="7" max="7" width="14" customWidth="1"/>
  </cols>
  <sheetData>
    <row r="1" spans="1:13" ht="15" customHeight="1" x14ac:dyDescent="0.3">
      <c r="A1" s="407" t="s">
        <v>744</v>
      </c>
      <c r="B1" s="26" t="s">
        <v>659</v>
      </c>
      <c r="F1" s="76"/>
      <c r="G1" s="77"/>
      <c r="I1" s="394"/>
      <c r="J1" s="14"/>
      <c r="K1" s="395"/>
      <c r="L1" s="39"/>
      <c r="M1" s="47"/>
    </row>
    <row r="2" spans="1:13" ht="15" customHeight="1" x14ac:dyDescent="0.3">
      <c r="A2" s="393"/>
      <c r="B2" s="72" t="s">
        <v>660</v>
      </c>
      <c r="F2" s="392"/>
      <c r="G2" s="266"/>
      <c r="I2" s="394"/>
      <c r="J2" s="14"/>
      <c r="K2" s="395"/>
      <c r="L2" s="39"/>
      <c r="M2" s="47"/>
    </row>
    <row r="3" spans="1:13" s="51" customFormat="1" ht="15" customHeight="1" x14ac:dyDescent="0.25">
      <c r="A3" s="393" t="s">
        <v>745</v>
      </c>
      <c r="B3" s="406" t="s">
        <v>661</v>
      </c>
      <c r="F3" s="392"/>
      <c r="G3" s="266"/>
      <c r="K3" s="52"/>
      <c r="L3" s="52"/>
      <c r="M3" s="52"/>
    </row>
    <row r="4" spans="1:13" s="51" customFormat="1" ht="15" customHeight="1" x14ac:dyDescent="0.25">
      <c r="A4" s="407" t="s">
        <v>746</v>
      </c>
      <c r="B4" s="406" t="s">
        <v>663</v>
      </c>
      <c r="F4" s="392"/>
      <c r="G4" s="266"/>
      <c r="K4" s="52"/>
      <c r="L4" s="52"/>
      <c r="M4" s="52"/>
    </row>
    <row r="5" spans="1:13" s="51" customFormat="1" ht="15" customHeight="1" x14ac:dyDescent="0.25">
      <c r="A5" s="393"/>
      <c r="B5" s="72" t="s">
        <v>662</v>
      </c>
      <c r="F5" s="392"/>
      <c r="G5" s="266"/>
      <c r="K5" s="52"/>
      <c r="L5" s="52"/>
      <c r="M5" s="52"/>
    </row>
    <row r="6" spans="1:13" s="51" customFormat="1" ht="15" customHeight="1" x14ac:dyDescent="0.25">
      <c r="A6" s="393"/>
      <c r="B6" s="72" t="s">
        <v>664</v>
      </c>
      <c r="F6" s="392"/>
      <c r="G6" s="266"/>
      <c r="K6" s="52"/>
      <c r="L6" s="52"/>
      <c r="M6" s="52"/>
    </row>
    <row r="7" spans="1:13" s="51" customFormat="1" ht="15" customHeight="1" x14ac:dyDescent="0.25">
      <c r="A7" s="393" t="s">
        <v>747</v>
      </c>
      <c r="B7" s="406" t="s">
        <v>665</v>
      </c>
      <c r="F7" s="392"/>
      <c r="G7" s="266"/>
      <c r="K7" s="52"/>
      <c r="L7" s="52"/>
      <c r="M7" s="52"/>
    </row>
    <row r="8" spans="1:13" s="51" customFormat="1" ht="15" customHeight="1" thickBot="1" x14ac:dyDescent="0.3">
      <c r="A8" s="396"/>
      <c r="B8" s="72" t="s">
        <v>748</v>
      </c>
      <c r="C8" s="396"/>
      <c r="D8" s="50"/>
      <c r="E8" s="50"/>
      <c r="F8" s="326"/>
      <c r="G8" s="266"/>
      <c r="K8" s="52"/>
      <c r="L8" s="52"/>
      <c r="M8" s="52"/>
    </row>
    <row r="9" spans="1:13" ht="18" customHeight="1" x14ac:dyDescent="0.25">
      <c r="A9" s="379" t="s">
        <v>78</v>
      </c>
      <c r="B9" s="380" t="s">
        <v>93</v>
      </c>
      <c r="C9" s="381" t="s">
        <v>99</v>
      </c>
      <c r="D9" s="403" t="s">
        <v>729</v>
      </c>
    </row>
    <row r="10" spans="1:13" ht="18" customHeight="1" x14ac:dyDescent="0.25">
      <c r="A10" s="382" t="s">
        <v>79</v>
      </c>
      <c r="B10" s="378" t="s">
        <v>93</v>
      </c>
      <c r="C10" s="383" t="s">
        <v>728</v>
      </c>
      <c r="D10" s="72" t="s">
        <v>730</v>
      </c>
    </row>
    <row r="11" spans="1:13" ht="18" customHeight="1" x14ac:dyDescent="0.25">
      <c r="A11" s="382" t="s">
        <v>80</v>
      </c>
      <c r="B11" s="378" t="s">
        <v>94</v>
      </c>
      <c r="C11" s="383" t="s">
        <v>100</v>
      </c>
      <c r="D11" s="72" t="s">
        <v>731</v>
      </c>
    </row>
    <row r="12" spans="1:13" ht="18" customHeight="1" x14ac:dyDescent="0.25">
      <c r="A12" s="382" t="s">
        <v>81</v>
      </c>
      <c r="B12" s="378" t="s">
        <v>95</v>
      </c>
      <c r="C12" s="383" t="s">
        <v>101</v>
      </c>
      <c r="D12" s="72" t="s">
        <v>732</v>
      </c>
    </row>
    <row r="13" spans="1:13" ht="18" customHeight="1" x14ac:dyDescent="0.25">
      <c r="A13" s="382" t="s">
        <v>82</v>
      </c>
      <c r="B13" s="378" t="s">
        <v>95</v>
      </c>
      <c r="C13" s="383" t="s">
        <v>728</v>
      </c>
      <c r="D13" s="72" t="s">
        <v>733</v>
      </c>
    </row>
    <row r="14" spans="1:13" ht="18" customHeight="1" x14ac:dyDescent="0.25">
      <c r="A14" s="382" t="s">
        <v>83</v>
      </c>
      <c r="B14" s="378" t="s">
        <v>96</v>
      </c>
      <c r="C14" s="383" t="s">
        <v>102</v>
      </c>
      <c r="D14" s="72" t="s">
        <v>734</v>
      </c>
    </row>
    <row r="15" spans="1:13" ht="18" customHeight="1" x14ac:dyDescent="0.25">
      <c r="A15" s="382" t="s">
        <v>84</v>
      </c>
      <c r="B15" s="378" t="s">
        <v>96</v>
      </c>
      <c r="C15" s="383" t="s">
        <v>103</v>
      </c>
      <c r="D15" s="72" t="s">
        <v>735</v>
      </c>
    </row>
    <row r="16" spans="1:13" ht="18" customHeight="1" x14ac:dyDescent="0.25">
      <c r="A16" s="382" t="s">
        <v>85</v>
      </c>
      <c r="B16" s="378" t="s">
        <v>96</v>
      </c>
      <c r="C16" s="383" t="s">
        <v>728</v>
      </c>
      <c r="D16" s="72" t="s">
        <v>736</v>
      </c>
    </row>
    <row r="17" spans="1:5" ht="18" customHeight="1" x14ac:dyDescent="0.25">
      <c r="A17" s="382" t="s">
        <v>86</v>
      </c>
      <c r="B17" s="378" t="s">
        <v>97</v>
      </c>
      <c r="C17" s="383" t="s">
        <v>104</v>
      </c>
      <c r="D17" s="72" t="s">
        <v>737</v>
      </c>
    </row>
    <row r="18" spans="1:5" ht="18" customHeight="1" x14ac:dyDescent="0.25">
      <c r="A18" s="382" t="s">
        <v>87</v>
      </c>
      <c r="B18" s="378" t="s">
        <v>97</v>
      </c>
      <c r="C18" s="383" t="s">
        <v>342</v>
      </c>
      <c r="D18" s="404" t="s">
        <v>738</v>
      </c>
    </row>
    <row r="19" spans="1:5" ht="18" customHeight="1" x14ac:dyDescent="0.25">
      <c r="A19" s="382" t="s">
        <v>88</v>
      </c>
      <c r="B19" s="378" t="s">
        <v>97</v>
      </c>
      <c r="C19" s="383" t="s">
        <v>343</v>
      </c>
      <c r="D19" s="391" t="s">
        <v>739</v>
      </c>
    </row>
    <row r="20" spans="1:5" ht="18" customHeight="1" x14ac:dyDescent="0.25">
      <c r="A20" s="382" t="s">
        <v>89</v>
      </c>
      <c r="B20" s="378" t="s">
        <v>97</v>
      </c>
      <c r="C20" s="383" t="s">
        <v>105</v>
      </c>
      <c r="D20" s="391" t="s">
        <v>740</v>
      </c>
    </row>
    <row r="21" spans="1:5" ht="18" customHeight="1" x14ac:dyDescent="0.25">
      <c r="A21" s="382" t="s">
        <v>90</v>
      </c>
      <c r="B21" s="378" t="s">
        <v>97</v>
      </c>
      <c r="C21" s="383" t="s">
        <v>106</v>
      </c>
      <c r="D21" s="391" t="s">
        <v>741</v>
      </c>
    </row>
    <row r="22" spans="1:5" ht="18" customHeight="1" x14ac:dyDescent="0.25">
      <c r="A22" s="382" t="s">
        <v>91</v>
      </c>
      <c r="B22" s="378" t="s">
        <v>97</v>
      </c>
      <c r="C22" s="383" t="s">
        <v>728</v>
      </c>
      <c r="D22" s="391" t="s">
        <v>742</v>
      </c>
    </row>
    <row r="23" spans="1:5" s="73" customFormat="1" ht="18" customHeight="1" thickBot="1" x14ac:dyDescent="0.3">
      <c r="A23" s="384" t="s">
        <v>92</v>
      </c>
      <c r="B23" s="385" t="s">
        <v>98</v>
      </c>
      <c r="C23" s="386" t="s">
        <v>728</v>
      </c>
      <c r="D23" s="391" t="s">
        <v>743</v>
      </c>
      <c r="E23"/>
    </row>
    <row r="24" spans="1:5" ht="18" customHeight="1" x14ac:dyDescent="0.25">
      <c r="A24" s="74"/>
      <c r="B24" s="53"/>
      <c r="D24" s="391" t="s">
        <v>814</v>
      </c>
    </row>
    <row r="25" spans="1:5" ht="18" customHeight="1" x14ac:dyDescent="0.25">
      <c r="B25" s="53"/>
      <c r="D25" s="405" t="s">
        <v>815</v>
      </c>
    </row>
    <row r="26" spans="1:5" ht="18" customHeight="1" x14ac:dyDescent="0.25">
      <c r="B26" s="53"/>
    </row>
    <row r="27" spans="1:5" ht="18" customHeight="1" x14ac:dyDescent="0.25">
      <c r="B27" s="53"/>
    </row>
    <row r="28" spans="1:5" ht="18" customHeight="1" x14ac:dyDescent="0.25">
      <c r="B28" s="53"/>
    </row>
    <row r="29" spans="1:5" ht="18" customHeight="1" x14ac:dyDescent="0.25">
      <c r="A29" s="75"/>
      <c r="B29" s="53"/>
    </row>
    <row r="30" spans="1:5" ht="18" customHeight="1" x14ac:dyDescent="0.25">
      <c r="A30" s="75"/>
      <c r="B30" s="53"/>
    </row>
    <row r="31" spans="1:5" ht="18" customHeight="1" x14ac:dyDescent="0.25">
      <c r="A31" s="75"/>
      <c r="B31" s="53"/>
    </row>
    <row r="32" spans="1:5" ht="18" customHeight="1" x14ac:dyDescent="0.25">
      <c r="B32" s="53"/>
    </row>
    <row r="33" spans="1:2" ht="18" customHeight="1" x14ac:dyDescent="0.25">
      <c r="A33" s="75"/>
      <c r="B33" s="53"/>
    </row>
    <row r="34" spans="1:2" ht="18" customHeight="1" x14ac:dyDescent="0.25">
      <c r="A34" s="75"/>
      <c r="B34" s="53"/>
    </row>
    <row r="35" spans="1:2" ht="18" customHeight="1" x14ac:dyDescent="0.25">
      <c r="A35" s="75"/>
      <c r="B35" s="53"/>
    </row>
    <row r="36" spans="1:2" ht="18" customHeight="1" x14ac:dyDescent="0.25">
      <c r="A36" s="75"/>
      <c r="B36" s="53"/>
    </row>
    <row r="37" spans="1:2" ht="18" customHeight="1" x14ac:dyDescent="0.25">
      <c r="B37" s="53"/>
    </row>
    <row r="38" spans="1:2" ht="18" customHeight="1" x14ac:dyDescent="0.25">
      <c r="B38" s="53"/>
    </row>
    <row r="39" spans="1:2" ht="18" customHeight="1" x14ac:dyDescent="0.25">
      <c r="A39" s="53"/>
      <c r="B39" s="53"/>
    </row>
    <row r="40" spans="1:2" ht="18" customHeight="1" x14ac:dyDescent="0.25">
      <c r="A40" s="53"/>
      <c r="B40" s="53"/>
    </row>
    <row r="41" spans="1:2" ht="18" customHeight="1" x14ac:dyDescent="0.25">
      <c r="A41" s="53"/>
      <c r="B41" s="53"/>
    </row>
    <row r="42" spans="1:2" ht="18" customHeight="1" x14ac:dyDescent="0.25">
      <c r="A42" s="53"/>
      <c r="B42" s="53"/>
    </row>
    <row r="43" spans="1:2" ht="18" customHeight="1" x14ac:dyDescent="0.25">
      <c r="B43" s="53"/>
    </row>
    <row r="44" spans="1:2" ht="18" customHeight="1" x14ac:dyDescent="0.25">
      <c r="B44" s="53"/>
    </row>
    <row r="45" spans="1:2" ht="18" customHeight="1" x14ac:dyDescent="0.25">
      <c r="B45" s="53"/>
    </row>
    <row r="46" spans="1:2" ht="18" customHeight="1" x14ac:dyDescent="0.25">
      <c r="B46" s="53"/>
    </row>
    <row r="47" spans="1:2" ht="18" customHeight="1" x14ac:dyDescent="0.25">
      <c r="B47" s="53"/>
    </row>
    <row r="49" spans="2:2" ht="18" customHeight="1" x14ac:dyDescent="0.25">
      <c r="B49" s="53"/>
    </row>
    <row r="50" spans="2:2" ht="18" customHeight="1" x14ac:dyDescent="0.25">
      <c r="B50" s="53"/>
    </row>
    <row r="51" spans="2:2" ht="18" customHeight="1" x14ac:dyDescent="0.25">
      <c r="B51" s="53"/>
    </row>
    <row r="52" spans="2:2" ht="18" customHeight="1" x14ac:dyDescent="0.25">
      <c r="B52" s="53"/>
    </row>
    <row r="53" spans="2:2" ht="18" customHeight="1" x14ac:dyDescent="0.25">
      <c r="B53" s="53"/>
    </row>
  </sheetData>
  <phoneticPr fontId="43"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activeCell="F32" sqref="F32"/>
    </sheetView>
  </sheetViews>
  <sheetFormatPr defaultColWidth="9.109375" defaultRowHeight="18" x14ac:dyDescent="0.35"/>
  <cols>
    <col min="1" max="1" width="8.5546875" style="720" customWidth="1"/>
    <col min="2" max="2" width="31.5546875" style="744" customWidth="1"/>
    <col min="3" max="3" width="40.5546875" style="743" customWidth="1"/>
    <col min="4" max="4" width="18.33203125" style="720" customWidth="1"/>
    <col min="5" max="5" width="5.88671875" style="720" customWidth="1"/>
    <col min="6" max="6" width="45.44140625" style="744" customWidth="1"/>
    <col min="7" max="16384" width="9.109375" style="744"/>
  </cols>
  <sheetData>
    <row r="1" spans="1:4" ht="25.5" customHeight="1" x14ac:dyDescent="0.35">
      <c r="A1" s="1332" t="s">
        <v>1295</v>
      </c>
      <c r="B1" s="1332"/>
      <c r="C1" s="1332"/>
      <c r="D1" s="1332"/>
    </row>
    <row r="2" spans="1:4" x14ac:dyDescent="0.35">
      <c r="A2" s="721" t="s">
        <v>1296</v>
      </c>
      <c r="B2" s="722" t="s">
        <v>495</v>
      </c>
      <c r="C2" s="722" t="s">
        <v>1297</v>
      </c>
      <c r="D2" s="722" t="s">
        <v>1298</v>
      </c>
    </row>
    <row r="3" spans="1:4" x14ac:dyDescent="0.35">
      <c r="A3" s="723">
        <v>1</v>
      </c>
      <c r="B3" s="724" t="s">
        <v>1299</v>
      </c>
      <c r="C3" s="724" t="s">
        <v>1300</v>
      </c>
      <c r="D3" s="725">
        <v>7499615156</v>
      </c>
    </row>
    <row r="4" spans="1:4" x14ac:dyDescent="0.35">
      <c r="A4" s="723">
        <v>2</v>
      </c>
      <c r="B4" s="724" t="s">
        <v>1301</v>
      </c>
      <c r="C4" s="724" t="s">
        <v>1300</v>
      </c>
      <c r="D4" s="725">
        <v>9990062829</v>
      </c>
    </row>
    <row r="5" spans="1:4" x14ac:dyDescent="0.35">
      <c r="A5" s="723">
        <v>3</v>
      </c>
      <c r="B5" s="726" t="s">
        <v>1302</v>
      </c>
      <c r="C5" s="726" t="s">
        <v>1303</v>
      </c>
      <c r="D5" s="723">
        <v>9810584769</v>
      </c>
    </row>
    <row r="6" spans="1:4" x14ac:dyDescent="0.35">
      <c r="A6" s="723">
        <v>4</v>
      </c>
      <c r="B6" s="726" t="s">
        <v>1304</v>
      </c>
      <c r="C6" s="726" t="s">
        <v>1305</v>
      </c>
      <c r="D6" s="723">
        <v>9811976606</v>
      </c>
    </row>
    <row r="7" spans="1:4" x14ac:dyDescent="0.35">
      <c r="A7" s="723">
        <v>5</v>
      </c>
      <c r="B7" s="727" t="s">
        <v>1306</v>
      </c>
      <c r="C7" s="727" t="s">
        <v>1307</v>
      </c>
      <c r="D7" s="728">
        <v>9891377550</v>
      </c>
    </row>
    <row r="8" spans="1:4" x14ac:dyDescent="0.35">
      <c r="A8" s="723">
        <v>6</v>
      </c>
      <c r="B8" s="727" t="s">
        <v>1308</v>
      </c>
      <c r="C8" s="727" t="s">
        <v>1307</v>
      </c>
      <c r="D8" s="728">
        <v>9873362973</v>
      </c>
    </row>
    <row r="9" spans="1:4" x14ac:dyDescent="0.35">
      <c r="A9" s="723">
        <v>7</v>
      </c>
      <c r="B9" s="726" t="s">
        <v>1309</v>
      </c>
      <c r="C9" s="726" t="s">
        <v>1310</v>
      </c>
      <c r="D9" s="723">
        <v>9871059131</v>
      </c>
    </row>
    <row r="10" spans="1:4" x14ac:dyDescent="0.35">
      <c r="A10" s="723">
        <v>8</v>
      </c>
      <c r="B10" s="726" t="s">
        <v>1311</v>
      </c>
      <c r="C10" s="726" t="s">
        <v>1312</v>
      </c>
      <c r="D10" s="723">
        <v>9811080813</v>
      </c>
    </row>
    <row r="11" spans="1:4" x14ac:dyDescent="0.35">
      <c r="A11" s="723">
        <v>9</v>
      </c>
      <c r="B11" s="726" t="s">
        <v>1313</v>
      </c>
      <c r="C11" s="726" t="s">
        <v>1314</v>
      </c>
      <c r="D11" s="723">
        <v>9871024224</v>
      </c>
    </row>
    <row r="12" spans="1:4" x14ac:dyDescent="0.35">
      <c r="A12" s="723">
        <v>10</v>
      </c>
      <c r="B12" s="726" t="s">
        <v>1315</v>
      </c>
      <c r="C12" s="726" t="s">
        <v>1316</v>
      </c>
      <c r="D12" s="723">
        <v>9953031252</v>
      </c>
    </row>
    <row r="13" spans="1:4" x14ac:dyDescent="0.35">
      <c r="A13" s="723">
        <v>11</v>
      </c>
      <c r="B13" s="726" t="s">
        <v>1317</v>
      </c>
      <c r="C13" s="726" t="s">
        <v>1318</v>
      </c>
      <c r="D13" s="723">
        <v>7838872724</v>
      </c>
    </row>
    <row r="14" spans="1:4" x14ac:dyDescent="0.35">
      <c r="A14" s="723">
        <v>12</v>
      </c>
      <c r="B14" s="729" t="s">
        <v>1319</v>
      </c>
      <c r="C14" s="729" t="s">
        <v>1320</v>
      </c>
      <c r="D14" s="730">
        <v>9711597744</v>
      </c>
    </row>
    <row r="15" spans="1:4" x14ac:dyDescent="0.35">
      <c r="A15" s="723">
        <v>13</v>
      </c>
      <c r="B15" s="729" t="s">
        <v>1321</v>
      </c>
      <c r="C15" s="729" t="s">
        <v>1320</v>
      </c>
      <c r="D15" s="730">
        <v>8743965693</v>
      </c>
    </row>
    <row r="16" spans="1:4" x14ac:dyDescent="0.35">
      <c r="A16" s="723">
        <v>14</v>
      </c>
      <c r="B16" s="726" t="s">
        <v>1322</v>
      </c>
      <c r="C16" s="726" t="s">
        <v>1323</v>
      </c>
      <c r="D16" s="723">
        <v>9560215607</v>
      </c>
    </row>
    <row r="17" spans="1:4" x14ac:dyDescent="0.35">
      <c r="A17" s="723">
        <v>15</v>
      </c>
      <c r="B17" s="731" t="s">
        <v>1324</v>
      </c>
      <c r="C17" s="731" t="s">
        <v>1325</v>
      </c>
      <c r="D17" s="732">
        <v>9810852186</v>
      </c>
    </row>
    <row r="18" spans="1:4" x14ac:dyDescent="0.35">
      <c r="A18" s="723">
        <v>16</v>
      </c>
      <c r="B18" s="731" t="s">
        <v>1326</v>
      </c>
      <c r="C18" s="731" t="s">
        <v>1325</v>
      </c>
      <c r="D18" s="732">
        <v>9711937734</v>
      </c>
    </row>
    <row r="19" spans="1:4" x14ac:dyDescent="0.35">
      <c r="A19" s="723">
        <v>17</v>
      </c>
      <c r="B19" s="726" t="s">
        <v>1327</v>
      </c>
      <c r="C19" s="726" t="s">
        <v>1328</v>
      </c>
      <c r="D19" s="723">
        <v>8285605233</v>
      </c>
    </row>
    <row r="20" spans="1:4" x14ac:dyDescent="0.35">
      <c r="A20" s="723">
        <v>18</v>
      </c>
      <c r="B20" s="726" t="s">
        <v>1329</v>
      </c>
      <c r="C20" s="726" t="s">
        <v>1330</v>
      </c>
      <c r="D20" s="723">
        <v>9313332958</v>
      </c>
    </row>
    <row r="21" spans="1:4" x14ac:dyDescent="0.35">
      <c r="A21" s="723">
        <v>19</v>
      </c>
      <c r="B21" s="726" t="s">
        <v>1331</v>
      </c>
      <c r="C21" s="726" t="s">
        <v>1332</v>
      </c>
      <c r="D21" s="723">
        <v>9582008892</v>
      </c>
    </row>
    <row r="22" spans="1:4" x14ac:dyDescent="0.35">
      <c r="A22" s="723">
        <v>20</v>
      </c>
      <c r="B22" s="726" t="s">
        <v>1333</v>
      </c>
      <c r="C22" s="726" t="s">
        <v>1334</v>
      </c>
      <c r="D22" s="723">
        <v>9717493185</v>
      </c>
    </row>
    <row r="23" spans="1:4" x14ac:dyDescent="0.35">
      <c r="A23" s="723">
        <v>21</v>
      </c>
      <c r="B23" s="733" t="s">
        <v>1335</v>
      </c>
      <c r="C23" s="733" t="s">
        <v>1336</v>
      </c>
      <c r="D23" s="734">
        <v>9911001613</v>
      </c>
    </row>
    <row r="24" spans="1:4" x14ac:dyDescent="0.35">
      <c r="A24" s="723">
        <v>22</v>
      </c>
      <c r="B24" s="733" t="s">
        <v>1337</v>
      </c>
      <c r="C24" s="733" t="s">
        <v>1336</v>
      </c>
      <c r="D24" s="734">
        <v>9891088599</v>
      </c>
    </row>
    <row r="25" spans="1:4" x14ac:dyDescent="0.35">
      <c r="A25" s="723">
        <v>23</v>
      </c>
      <c r="B25" s="729" t="s">
        <v>1338</v>
      </c>
      <c r="C25" s="729" t="s">
        <v>1339</v>
      </c>
      <c r="D25" s="730">
        <v>9811116835</v>
      </c>
    </row>
    <row r="26" spans="1:4" x14ac:dyDescent="0.35">
      <c r="A26" s="723">
        <v>24</v>
      </c>
      <c r="B26" s="729" t="s">
        <v>1340</v>
      </c>
      <c r="C26" s="729" t="s">
        <v>1339</v>
      </c>
      <c r="D26" s="730">
        <v>8447610144</v>
      </c>
    </row>
    <row r="27" spans="1:4" x14ac:dyDescent="0.35">
      <c r="A27" s="723">
        <v>25</v>
      </c>
      <c r="B27" s="727" t="s">
        <v>1341</v>
      </c>
      <c r="C27" s="727" t="s">
        <v>1342</v>
      </c>
      <c r="D27" s="728">
        <v>9560070924</v>
      </c>
    </row>
    <row r="28" spans="1:4" x14ac:dyDescent="0.35">
      <c r="A28" s="723">
        <v>26</v>
      </c>
      <c r="B28" s="727" t="s">
        <v>1343</v>
      </c>
      <c r="C28" s="727" t="s">
        <v>1342</v>
      </c>
      <c r="D28" s="728">
        <v>9911946878</v>
      </c>
    </row>
    <row r="29" spans="1:4" x14ac:dyDescent="0.35">
      <c r="A29" s="723">
        <v>27</v>
      </c>
      <c r="B29" s="735" t="s">
        <v>1344</v>
      </c>
      <c r="C29" s="735" t="s">
        <v>1345</v>
      </c>
      <c r="D29" s="736">
        <v>8750227675</v>
      </c>
    </row>
    <row r="30" spans="1:4" x14ac:dyDescent="0.35">
      <c r="A30" s="723">
        <v>28</v>
      </c>
      <c r="B30" s="735" t="s">
        <v>1346</v>
      </c>
      <c r="C30" s="735" t="s">
        <v>1345</v>
      </c>
      <c r="D30" s="736">
        <v>9650916189</v>
      </c>
    </row>
    <row r="31" spans="1:4" x14ac:dyDescent="0.35">
      <c r="A31" s="723">
        <v>29</v>
      </c>
      <c r="B31" s="737" t="s">
        <v>1347</v>
      </c>
      <c r="C31" s="737" t="s">
        <v>1348</v>
      </c>
      <c r="D31" s="738">
        <v>9711482693</v>
      </c>
    </row>
    <row r="32" spans="1:4" x14ac:dyDescent="0.35">
      <c r="A32" s="723">
        <v>30</v>
      </c>
      <c r="B32" s="737" t="s">
        <v>1349</v>
      </c>
      <c r="C32" s="737" t="s">
        <v>1348</v>
      </c>
      <c r="D32" s="738">
        <v>9811550775</v>
      </c>
    </row>
    <row r="33" spans="1:4" x14ac:dyDescent="0.35">
      <c r="A33" s="723">
        <v>31</v>
      </c>
      <c r="B33" s="737" t="s">
        <v>1350</v>
      </c>
      <c r="C33" s="737" t="s">
        <v>1348</v>
      </c>
      <c r="D33" s="738">
        <v>9811525676</v>
      </c>
    </row>
    <row r="34" spans="1:4" x14ac:dyDescent="0.35">
      <c r="A34" s="723">
        <v>32</v>
      </c>
      <c r="B34" s="737" t="s">
        <v>1351</v>
      </c>
      <c r="C34" s="737" t="s">
        <v>1348</v>
      </c>
      <c r="D34" s="738">
        <v>9560809220</v>
      </c>
    </row>
    <row r="35" spans="1:4" x14ac:dyDescent="0.35">
      <c r="A35" s="723">
        <v>33</v>
      </c>
      <c r="B35" s="726" t="s">
        <v>1352</v>
      </c>
      <c r="C35" s="726" t="s">
        <v>1353</v>
      </c>
      <c r="D35" s="723">
        <v>9811012106</v>
      </c>
    </row>
    <row r="36" spans="1:4" x14ac:dyDescent="0.35">
      <c r="A36" s="723">
        <v>34</v>
      </c>
      <c r="B36" s="731" t="s">
        <v>1354</v>
      </c>
      <c r="C36" s="731" t="s">
        <v>1355</v>
      </c>
      <c r="D36" s="732">
        <v>9810814115</v>
      </c>
    </row>
    <row r="37" spans="1:4" x14ac:dyDescent="0.35">
      <c r="A37" s="723">
        <v>35</v>
      </c>
      <c r="B37" s="731" t="s">
        <v>1356</v>
      </c>
      <c r="C37" s="731" t="s">
        <v>1355</v>
      </c>
      <c r="D37" s="732">
        <v>9899124166</v>
      </c>
    </row>
    <row r="38" spans="1:4" x14ac:dyDescent="0.35">
      <c r="A38" s="723">
        <v>36</v>
      </c>
      <c r="B38" s="726" t="s">
        <v>1357</v>
      </c>
      <c r="C38" s="726"/>
      <c r="D38" s="723">
        <v>9818309510</v>
      </c>
    </row>
    <row r="39" spans="1:4" x14ac:dyDescent="0.35">
      <c r="A39" s="723">
        <v>37</v>
      </c>
      <c r="B39" s="726" t="s">
        <v>1358</v>
      </c>
      <c r="C39" s="726"/>
      <c r="D39" s="723">
        <v>9999163108</v>
      </c>
    </row>
    <row r="40" spans="1:4" x14ac:dyDescent="0.35">
      <c r="A40" s="739"/>
      <c r="B40" s="740"/>
      <c r="C40" s="741"/>
      <c r="D40" s="742" t="s">
        <v>1359</v>
      </c>
    </row>
    <row r="41" spans="1:4" x14ac:dyDescent="0.35">
      <c r="B41" s="743" t="s">
        <v>1360</v>
      </c>
      <c r="C41" s="743" t="s">
        <v>1361</v>
      </c>
      <c r="D41" s="720">
        <v>9311017600</v>
      </c>
    </row>
    <row r="42" spans="1:4" x14ac:dyDescent="0.35">
      <c r="B42" s="743" t="s">
        <v>1362</v>
      </c>
      <c r="C42" s="743" t="s">
        <v>1361</v>
      </c>
      <c r="D42" s="720">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M516"/>
  <sheetViews>
    <sheetView showZeros="0" zoomScaleNormal="100" workbookViewId="0">
      <selection activeCell="F1" sqref="F1:F6"/>
    </sheetView>
  </sheetViews>
  <sheetFormatPr defaultColWidth="2.5546875" defaultRowHeight="11.4" x14ac:dyDescent="0.2"/>
  <cols>
    <col min="1" max="1" width="0.6640625" style="78" customWidth="1"/>
    <col min="2" max="2" width="3" style="78" customWidth="1"/>
    <col min="3" max="3" width="2.88671875" style="78" customWidth="1"/>
    <col min="4" max="4" width="2.6640625" style="78" customWidth="1"/>
    <col min="5" max="5" width="3.88671875" style="78" customWidth="1"/>
    <col min="6" max="6" width="3.109375" style="78" customWidth="1"/>
    <col min="7" max="7" width="2.5546875" style="78" customWidth="1"/>
    <col min="8" max="8" width="2.33203125" style="78" customWidth="1"/>
    <col min="9" max="10" width="2.5546875" style="78" customWidth="1"/>
    <col min="11" max="11" width="2.44140625" style="78" customWidth="1"/>
    <col min="12" max="16" width="2.5546875" style="78" customWidth="1"/>
    <col min="17" max="17" width="2.6640625" style="78" customWidth="1"/>
    <col min="18" max="18" width="4" style="78" customWidth="1"/>
    <col min="19" max="19" width="2.5546875" style="78" customWidth="1"/>
    <col min="20" max="20" width="3.33203125" style="78" customWidth="1"/>
    <col min="21" max="21" width="2.5546875" style="78" customWidth="1"/>
    <col min="22" max="22" width="3.5546875" style="78" customWidth="1"/>
    <col min="23" max="28" width="2.33203125" style="78" customWidth="1"/>
    <col min="29" max="29" width="1" style="78" customWidth="1"/>
    <col min="30" max="30" width="3.88671875" style="78" customWidth="1"/>
    <col min="31" max="31" width="3.5546875" style="78" customWidth="1"/>
    <col min="32" max="32" width="3.109375" style="79" customWidth="1"/>
    <col min="33" max="33" width="2.109375" style="78" customWidth="1"/>
    <col min="34" max="34" width="1.88671875" style="78" customWidth="1"/>
    <col min="35" max="36" width="2" style="78" customWidth="1"/>
    <col min="37" max="37" width="2.109375" style="78" customWidth="1"/>
    <col min="38" max="38" width="3.33203125" style="78" customWidth="1"/>
    <col min="39" max="39" width="0.33203125" style="78" customWidth="1"/>
    <col min="40" max="40" width="0.109375" style="78" customWidth="1"/>
    <col min="41" max="41" width="1" style="78" customWidth="1"/>
    <col min="42" max="47" width="2.5546875" style="78" customWidth="1"/>
    <col min="48" max="48" width="2.33203125" style="78" customWidth="1"/>
    <col min="49" max="16384" width="2.5546875" style="78"/>
  </cols>
  <sheetData>
    <row r="1" spans="2:38" ht="13.2" x14ac:dyDescent="0.2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3.2" x14ac:dyDescent="0.2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3.2" x14ac:dyDescent="0.2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3.2" x14ac:dyDescent="0.2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3.2" x14ac:dyDescent="0.2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8" thickBot="1" x14ac:dyDescent="0.3">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x14ac:dyDescent="0.25">
      <c r="B7" s="295"/>
      <c r="C7" s="296"/>
      <c r="D7" s="296"/>
      <c r="E7" s="296"/>
      <c r="F7" s="297"/>
      <c r="G7" s="296"/>
      <c r="H7" s="296"/>
      <c r="I7" s="296"/>
      <c r="J7" s="296"/>
      <c r="K7" s="296"/>
      <c r="L7" s="296"/>
      <c r="M7" s="324" t="s">
        <v>177</v>
      </c>
      <c r="N7" s="296"/>
      <c r="O7" s="1562" t="s">
        <v>721</v>
      </c>
      <c r="P7" s="1562"/>
      <c r="Q7" s="1562"/>
      <c r="R7" s="325" t="s">
        <v>722</v>
      </c>
      <c r="S7" s="323"/>
      <c r="T7" s="297"/>
      <c r="U7" s="296"/>
      <c r="V7" s="296"/>
      <c r="W7" s="296"/>
      <c r="X7" s="296"/>
      <c r="Y7" s="296"/>
      <c r="Z7" s="296"/>
      <c r="AA7" s="296"/>
      <c r="AB7" s="324" t="s">
        <v>177</v>
      </c>
      <c r="AC7" s="296"/>
      <c r="AD7" s="296"/>
      <c r="AE7" s="1562" t="s">
        <v>721</v>
      </c>
      <c r="AF7" s="1562"/>
      <c r="AG7" s="1562"/>
      <c r="AH7" s="325" t="s">
        <v>722</v>
      </c>
      <c r="AI7" s="296"/>
      <c r="AJ7" s="296"/>
      <c r="AK7" s="296"/>
      <c r="AL7" s="298"/>
    </row>
    <row r="8" spans="2:38" ht="15" customHeight="1" x14ac:dyDescent="0.3">
      <c r="B8" s="322" t="s">
        <v>622</v>
      </c>
      <c r="F8" s="283" t="s">
        <v>74</v>
      </c>
      <c r="M8" s="290" t="s">
        <v>627</v>
      </c>
      <c r="O8" s="1557"/>
      <c r="P8" s="1557"/>
      <c r="Q8" s="1557"/>
      <c r="R8" s="320" t="s">
        <v>682</v>
      </c>
      <c r="S8" s="287" t="s">
        <v>554</v>
      </c>
      <c r="T8" s="283" t="s">
        <v>553</v>
      </c>
      <c r="AB8" s="290" t="s">
        <v>636</v>
      </c>
      <c r="AE8" s="1557"/>
      <c r="AF8" s="1557"/>
      <c r="AG8" s="1557"/>
      <c r="AH8" s="78" t="s">
        <v>697</v>
      </c>
      <c r="AL8" s="300"/>
    </row>
    <row r="9" spans="2:38" ht="13.2" x14ac:dyDescent="0.3">
      <c r="B9" s="299" t="s">
        <v>935</v>
      </c>
      <c r="F9" s="136" t="s">
        <v>936</v>
      </c>
      <c r="M9" s="290" t="s">
        <v>628</v>
      </c>
      <c r="O9" s="1557"/>
      <c r="P9" s="1557"/>
      <c r="Q9" s="1557"/>
      <c r="R9" s="320" t="s">
        <v>683</v>
      </c>
      <c r="S9" s="288"/>
      <c r="T9" s="136" t="s">
        <v>637</v>
      </c>
      <c r="AB9" s="290" t="s">
        <v>640</v>
      </c>
      <c r="AD9" s="136"/>
      <c r="AE9" s="1557"/>
      <c r="AF9" s="1557"/>
      <c r="AG9" s="1557"/>
      <c r="AH9" s="78" t="s">
        <v>698</v>
      </c>
      <c r="AL9" s="300"/>
    </row>
    <row r="10" spans="2:38" ht="13.2" x14ac:dyDescent="0.3">
      <c r="B10" s="301"/>
      <c r="F10" s="136" t="s">
        <v>825</v>
      </c>
      <c r="M10" s="290" t="s">
        <v>629</v>
      </c>
      <c r="O10" s="1557"/>
      <c r="P10" s="1557"/>
      <c r="Q10" s="1557"/>
      <c r="R10" s="320" t="s">
        <v>684</v>
      </c>
      <c r="S10" s="288"/>
      <c r="T10" s="136" t="s">
        <v>638</v>
      </c>
      <c r="AB10" s="290" t="s">
        <v>641</v>
      </c>
      <c r="AE10" s="1557"/>
      <c r="AF10" s="1557"/>
      <c r="AG10" s="1557"/>
      <c r="AH10" s="78" t="s">
        <v>699</v>
      </c>
      <c r="AL10" s="300"/>
    </row>
    <row r="11" spans="2:38" ht="13.2" x14ac:dyDescent="0.3">
      <c r="B11" s="302" t="s">
        <v>548</v>
      </c>
      <c r="F11" s="136" t="s">
        <v>549</v>
      </c>
      <c r="M11" s="290" t="s">
        <v>630</v>
      </c>
      <c r="O11" s="1557"/>
      <c r="P11" s="1557"/>
      <c r="Q11" s="1557"/>
      <c r="R11" s="320" t="s">
        <v>685</v>
      </c>
      <c r="S11" s="288"/>
      <c r="T11" s="136" t="s">
        <v>639</v>
      </c>
      <c r="AB11" s="290" t="s">
        <v>642</v>
      </c>
      <c r="AE11" s="1557"/>
      <c r="AF11" s="1557"/>
      <c r="AG11" s="1557"/>
      <c r="AH11" s="78" t="s">
        <v>700</v>
      </c>
      <c r="AL11" s="300"/>
    </row>
    <row r="12" spans="2:38" ht="13.2" x14ac:dyDescent="0.3">
      <c r="B12" s="303"/>
      <c r="E12" s="268"/>
      <c r="F12" s="78" t="s">
        <v>970</v>
      </c>
      <c r="M12" s="318" t="s">
        <v>631</v>
      </c>
      <c r="O12" s="1557"/>
      <c r="P12" s="1557"/>
      <c r="Q12" s="1557"/>
      <c r="R12" s="320" t="s">
        <v>686</v>
      </c>
      <c r="S12" s="288"/>
      <c r="T12" s="136" t="s">
        <v>61</v>
      </c>
      <c r="U12" s="136"/>
      <c r="AB12" s="290" t="s">
        <v>643</v>
      </c>
      <c r="AD12" s="136"/>
      <c r="AE12" s="1557"/>
      <c r="AF12" s="1557"/>
      <c r="AG12" s="1557"/>
      <c r="AH12" s="78" t="s">
        <v>701</v>
      </c>
      <c r="AL12" s="300"/>
    </row>
    <row r="13" spans="2:38" ht="13.2" x14ac:dyDescent="0.3">
      <c r="B13" s="303"/>
      <c r="F13" s="178" t="s">
        <v>410</v>
      </c>
      <c r="M13" s="290" t="s">
        <v>632</v>
      </c>
      <c r="O13" s="1557"/>
      <c r="P13" s="1557"/>
      <c r="Q13" s="1557"/>
      <c r="R13" s="320" t="s">
        <v>687</v>
      </c>
      <c r="S13" s="287" t="s">
        <v>555</v>
      </c>
      <c r="T13" s="178" t="s">
        <v>63</v>
      </c>
      <c r="U13" s="136"/>
      <c r="AB13" s="290" t="s">
        <v>644</v>
      </c>
      <c r="AD13" s="276"/>
      <c r="AE13" s="1557"/>
      <c r="AF13" s="1557"/>
      <c r="AG13" s="1557"/>
      <c r="AH13" s="78" t="s">
        <v>702</v>
      </c>
      <c r="AL13" s="300"/>
    </row>
    <row r="14" spans="2:38" ht="13.2" x14ac:dyDescent="0.3">
      <c r="B14" s="303"/>
      <c r="F14" s="178" t="s">
        <v>411</v>
      </c>
      <c r="M14" s="290" t="s">
        <v>633</v>
      </c>
      <c r="O14" s="1557"/>
      <c r="P14" s="1557"/>
      <c r="Q14" s="1557"/>
      <c r="R14" s="320" t="s">
        <v>688</v>
      </c>
      <c r="T14" s="136" t="s">
        <v>550</v>
      </c>
      <c r="AB14" s="290" t="s">
        <v>645</v>
      </c>
      <c r="AD14" s="136"/>
      <c r="AE14" s="1557"/>
      <c r="AF14" s="1557"/>
      <c r="AG14" s="1557"/>
      <c r="AH14" s="78" t="s">
        <v>703</v>
      </c>
      <c r="AL14" s="300"/>
    </row>
    <row r="15" spans="2:38" ht="13.8" thickBot="1" x14ac:dyDescent="0.35">
      <c r="B15" s="304"/>
      <c r="C15" s="292"/>
      <c r="D15" s="292"/>
      <c r="E15" s="292"/>
      <c r="F15" s="292" t="s">
        <v>9</v>
      </c>
      <c r="G15" s="292"/>
      <c r="H15" s="292"/>
      <c r="I15" s="292"/>
      <c r="J15" s="292"/>
      <c r="K15" s="292"/>
      <c r="L15" s="292"/>
      <c r="M15" s="294" t="s">
        <v>634</v>
      </c>
      <c r="N15" s="292"/>
      <c r="O15" s="1560"/>
      <c r="P15" s="1560"/>
      <c r="Q15" s="1560"/>
      <c r="R15" s="321" t="s">
        <v>689</v>
      </c>
      <c r="T15" s="136" t="s">
        <v>114</v>
      </c>
      <c r="AB15" s="290" t="s">
        <v>646</v>
      </c>
      <c r="AD15" s="136"/>
      <c r="AE15" s="1557"/>
      <c r="AF15" s="1557"/>
      <c r="AG15" s="1557"/>
      <c r="AH15" s="78" t="s">
        <v>704</v>
      </c>
      <c r="AL15" s="300"/>
    </row>
    <row r="16" spans="2:38" ht="13.2" x14ac:dyDescent="0.3">
      <c r="B16" s="302" t="s">
        <v>856</v>
      </c>
      <c r="F16" s="78" t="s">
        <v>670</v>
      </c>
      <c r="G16" s="178"/>
      <c r="M16" s="319" t="s">
        <v>671</v>
      </c>
      <c r="O16" s="1557"/>
      <c r="P16" s="1557"/>
      <c r="Q16" s="1557"/>
      <c r="R16" s="320" t="s">
        <v>690</v>
      </c>
      <c r="S16" s="303"/>
      <c r="T16" s="136" t="s">
        <v>116</v>
      </c>
      <c r="AB16" s="290" t="s">
        <v>647</v>
      </c>
      <c r="AD16" s="136"/>
      <c r="AE16" s="1557"/>
      <c r="AF16" s="1557"/>
      <c r="AG16" s="1557"/>
      <c r="AH16" s="78" t="s">
        <v>705</v>
      </c>
      <c r="AL16" s="300"/>
    </row>
    <row r="17" spans="2:38" ht="13.2" x14ac:dyDescent="0.3">
      <c r="B17" s="303"/>
      <c r="F17" s="78" t="s">
        <v>625</v>
      </c>
      <c r="M17" s="290" t="s">
        <v>668</v>
      </c>
      <c r="O17" s="1557"/>
      <c r="P17" s="1557"/>
      <c r="Q17" s="1557"/>
      <c r="R17" s="320" t="s">
        <v>691</v>
      </c>
      <c r="S17" s="303"/>
      <c r="T17" s="136" t="s">
        <v>117</v>
      </c>
      <c r="AB17" s="290" t="s">
        <v>648</v>
      </c>
      <c r="AD17" s="136"/>
      <c r="AE17" s="1557"/>
      <c r="AF17" s="1557"/>
      <c r="AG17" s="1557"/>
      <c r="AH17" s="78" t="s">
        <v>706</v>
      </c>
      <c r="AL17" s="300"/>
    </row>
    <row r="18" spans="2:38" ht="13.2" x14ac:dyDescent="0.3">
      <c r="B18" s="303"/>
      <c r="F18" s="117" t="s">
        <v>624</v>
      </c>
      <c r="M18" s="290"/>
      <c r="O18" s="1557"/>
      <c r="P18" s="1557"/>
      <c r="Q18" s="1557"/>
      <c r="R18" s="320" t="s">
        <v>692</v>
      </c>
      <c r="S18" s="303"/>
      <c r="T18" s="136" t="s">
        <v>621</v>
      </c>
      <c r="AB18" s="290" t="s">
        <v>649</v>
      </c>
      <c r="AD18" s="136"/>
      <c r="AE18" s="1557"/>
      <c r="AF18" s="1557"/>
      <c r="AG18" s="1557"/>
      <c r="AH18" s="78" t="s">
        <v>707</v>
      </c>
      <c r="AL18" s="300"/>
    </row>
    <row r="19" spans="2:38" ht="13.2" x14ac:dyDescent="0.3">
      <c r="B19" s="303"/>
      <c r="F19" s="78" t="s">
        <v>626</v>
      </c>
      <c r="M19" s="290" t="s">
        <v>669</v>
      </c>
      <c r="O19" s="1557"/>
      <c r="P19" s="1557"/>
      <c r="Q19" s="1557"/>
      <c r="R19" s="320" t="s">
        <v>693</v>
      </c>
      <c r="S19" s="303"/>
      <c r="T19" s="136" t="s">
        <v>143</v>
      </c>
      <c r="AB19" s="290" t="s">
        <v>650</v>
      </c>
      <c r="AD19" s="136"/>
      <c r="AE19" s="1557"/>
      <c r="AF19" s="1557"/>
      <c r="AG19" s="1557"/>
      <c r="AH19" s="78" t="s">
        <v>708</v>
      </c>
      <c r="AL19" s="300"/>
    </row>
    <row r="20" spans="2:38" ht="13.2" x14ac:dyDescent="0.3">
      <c r="B20" s="303"/>
      <c r="F20" s="78" t="s">
        <v>345</v>
      </c>
      <c r="M20" s="290" t="s">
        <v>672</v>
      </c>
      <c r="O20" s="1557"/>
      <c r="P20" s="1557"/>
      <c r="Q20" s="1557"/>
      <c r="R20" s="320" t="s">
        <v>694</v>
      </c>
      <c r="S20" s="303"/>
      <c r="T20" s="182" t="s">
        <v>551</v>
      </c>
      <c r="AB20" s="290" t="s">
        <v>651</v>
      </c>
      <c r="AD20" s="137"/>
      <c r="AE20" s="1557"/>
      <c r="AF20" s="1557"/>
      <c r="AG20" s="1557"/>
      <c r="AH20" s="78" t="s">
        <v>709</v>
      </c>
      <c r="AL20" s="300"/>
    </row>
    <row r="21" spans="2:38" ht="13.2" x14ac:dyDescent="0.3">
      <c r="B21" s="303"/>
      <c r="F21" s="78" t="s">
        <v>346</v>
      </c>
      <c r="M21" s="290" t="s">
        <v>673</v>
      </c>
      <c r="O21" s="1557"/>
      <c r="P21" s="1557"/>
      <c r="Q21" s="1557"/>
      <c r="R21" s="320" t="s">
        <v>695</v>
      </c>
      <c r="S21" s="303"/>
      <c r="T21" s="136" t="s">
        <v>175</v>
      </c>
      <c r="AB21" s="290" t="s">
        <v>652</v>
      </c>
      <c r="AD21" s="137"/>
      <c r="AE21" s="1557"/>
      <c r="AF21" s="1557"/>
      <c r="AG21" s="1557"/>
      <c r="AH21" s="78" t="s">
        <v>710</v>
      </c>
      <c r="AL21" s="300"/>
    </row>
    <row r="22" spans="2:38" ht="13.2" x14ac:dyDescent="0.3">
      <c r="B22" s="303"/>
      <c r="F22" s="78" t="s">
        <v>347</v>
      </c>
      <c r="M22" s="290" t="s">
        <v>674</v>
      </c>
      <c r="O22" s="1557"/>
      <c r="P22" s="1557"/>
      <c r="Q22" s="1557"/>
      <c r="R22" s="320" t="s">
        <v>696</v>
      </c>
      <c r="S22" s="303"/>
      <c r="T22" s="136" t="s">
        <v>449</v>
      </c>
      <c r="AB22" s="290" t="s">
        <v>653</v>
      </c>
      <c r="AD22" s="137"/>
      <c r="AE22" s="1557"/>
      <c r="AF22" s="1557"/>
      <c r="AG22" s="1557"/>
      <c r="AH22" s="78" t="s">
        <v>711</v>
      </c>
      <c r="AL22" s="300"/>
    </row>
    <row r="23" spans="2:38" ht="13.8" thickBot="1" x14ac:dyDescent="0.35">
      <c r="B23" s="304"/>
      <c r="C23" s="292"/>
      <c r="D23" s="292"/>
      <c r="E23" s="292"/>
      <c r="O23" s="1557"/>
      <c r="P23" s="1557"/>
      <c r="Q23" s="1557"/>
      <c r="R23" s="321"/>
      <c r="S23" s="303"/>
      <c r="T23" s="136" t="s">
        <v>290</v>
      </c>
      <c r="AB23" s="290" t="s">
        <v>654</v>
      </c>
      <c r="AD23" s="137"/>
      <c r="AE23" s="1557"/>
      <c r="AF23" s="1557"/>
      <c r="AG23" s="1557"/>
      <c r="AH23" s="78" t="s">
        <v>712</v>
      </c>
      <c r="AL23" s="300"/>
    </row>
    <row r="24" spans="2:38" ht="13.2" x14ac:dyDescent="0.3">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557"/>
      <c r="AF24" s="1557"/>
      <c r="AG24" s="1557"/>
      <c r="AH24" s="78" t="s">
        <v>713</v>
      </c>
      <c r="AL24" s="300"/>
    </row>
    <row r="25" spans="2:38" ht="13.2" x14ac:dyDescent="0.3">
      <c r="B25" s="303"/>
      <c r="F25" s="78" t="s">
        <v>676</v>
      </c>
      <c r="M25" s="319" t="s">
        <v>678</v>
      </c>
      <c r="O25" s="1561"/>
      <c r="P25" s="1561"/>
      <c r="Q25" s="1561"/>
      <c r="R25" s="320" t="s">
        <v>718</v>
      </c>
      <c r="S25" s="303"/>
      <c r="T25" s="136" t="s">
        <v>301</v>
      </c>
      <c r="AB25" s="290" t="s">
        <v>656</v>
      </c>
      <c r="AD25" s="137"/>
      <c r="AE25" s="1557"/>
      <c r="AF25" s="1557"/>
      <c r="AG25" s="1557"/>
      <c r="AH25" s="78" t="s">
        <v>714</v>
      </c>
      <c r="AL25" s="300"/>
    </row>
    <row r="26" spans="2:38" ht="13.2" x14ac:dyDescent="0.3">
      <c r="B26" s="303"/>
      <c r="F26" s="136" t="s">
        <v>550</v>
      </c>
      <c r="M26" s="319" t="s">
        <v>679</v>
      </c>
      <c r="O26" s="1561"/>
      <c r="P26" s="1561"/>
      <c r="Q26" s="1561"/>
      <c r="R26" s="320" t="s">
        <v>719</v>
      </c>
      <c r="S26" s="303"/>
      <c r="T26" s="136" t="s">
        <v>304</v>
      </c>
      <c r="AB26" s="290" t="s">
        <v>657</v>
      </c>
      <c r="AD26" s="137"/>
      <c r="AE26" s="1557"/>
      <c r="AF26" s="1557"/>
      <c r="AG26" s="1557"/>
      <c r="AH26" s="78" t="s">
        <v>715</v>
      </c>
      <c r="AL26" s="300"/>
    </row>
    <row r="27" spans="2:38" ht="13.2" x14ac:dyDescent="0.3">
      <c r="B27" s="303"/>
      <c r="F27" s="283" t="s">
        <v>677</v>
      </c>
      <c r="M27" s="319" t="s">
        <v>680</v>
      </c>
      <c r="O27" s="1561"/>
      <c r="P27" s="1561"/>
      <c r="Q27" s="1561"/>
      <c r="R27" s="320" t="s">
        <v>720</v>
      </c>
      <c r="S27" s="303"/>
      <c r="T27" s="136" t="s">
        <v>825</v>
      </c>
      <c r="AB27" s="290" t="s">
        <v>658</v>
      </c>
      <c r="AE27" s="1557"/>
      <c r="AF27" s="1557"/>
      <c r="AG27" s="1557"/>
      <c r="AH27" s="78" t="s">
        <v>716</v>
      </c>
      <c r="AL27" s="300"/>
    </row>
    <row r="28" spans="2:38" ht="13.2" x14ac:dyDescent="0.3">
      <c r="B28" s="303"/>
      <c r="F28" s="136" t="s">
        <v>61</v>
      </c>
      <c r="M28" s="319" t="s">
        <v>681</v>
      </c>
      <c r="O28" s="1561"/>
      <c r="P28" s="1561"/>
      <c r="Q28" s="1561"/>
      <c r="R28" s="320" t="s">
        <v>723</v>
      </c>
      <c r="S28" s="303"/>
      <c r="T28" s="136" t="s">
        <v>635</v>
      </c>
      <c r="AB28" s="290" t="s">
        <v>666</v>
      </c>
      <c r="AE28" s="1557"/>
      <c r="AF28" s="1557"/>
      <c r="AG28" s="1557"/>
      <c r="AH28" s="78" t="s">
        <v>717</v>
      </c>
      <c r="AL28" s="300"/>
    </row>
    <row r="29" spans="2:38" ht="12.6" thickBot="1" x14ac:dyDescent="0.3">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560"/>
      <c r="AF29" s="1560"/>
      <c r="AG29" s="1560"/>
      <c r="AH29" s="292" t="s">
        <v>724</v>
      </c>
      <c r="AI29" s="292"/>
      <c r="AJ29" s="292"/>
      <c r="AK29" s="292"/>
      <c r="AL29" s="305"/>
    </row>
    <row r="30" spans="2:38" ht="12" customHeight="1" x14ac:dyDescent="0.2">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2" x14ac:dyDescent="0.25">
      <c r="B31" s="1468" t="s">
        <v>601</v>
      </c>
      <c r="C31" s="1468"/>
      <c r="D31" s="1468"/>
      <c r="E31" s="1468"/>
      <c r="F31" s="1468"/>
      <c r="G31" s="135" t="s">
        <v>760</v>
      </c>
      <c r="H31" s="113"/>
      <c r="I31" s="113"/>
      <c r="J31" s="113"/>
      <c r="K31" s="165"/>
      <c r="P31" s="165"/>
      <c r="Q31" s="166"/>
      <c r="R31" s="166"/>
      <c r="S31" s="166"/>
      <c r="T31" s="167"/>
      <c r="U31" s="167"/>
      <c r="Z31" s="167"/>
      <c r="AA31" s="167"/>
      <c r="AF31" s="164"/>
    </row>
    <row r="32" spans="2:38" x14ac:dyDescent="0.2">
      <c r="B32" s="1468"/>
      <c r="C32" s="1468"/>
      <c r="D32" s="1468"/>
      <c r="E32" s="1468"/>
      <c r="F32" s="1468"/>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 customHeight="1" x14ac:dyDescent="0.2">
      <c r="B33" s="1522"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437"/>
      <c r="AF33" s="1437"/>
      <c r="AG33" s="1437"/>
      <c r="AH33" s="1437"/>
      <c r="AI33" s="1437"/>
      <c r="AJ33" s="1437"/>
      <c r="AK33" s="1437"/>
      <c r="AL33" s="1402"/>
    </row>
    <row r="34" spans="2:38" ht="12.9" customHeight="1" x14ac:dyDescent="0.25">
      <c r="B34" s="1522"/>
      <c r="C34" s="1450"/>
      <c r="D34" s="108" t="s">
        <v>613</v>
      </c>
      <c r="E34" s="269" t="s">
        <v>909</v>
      </c>
      <c r="AE34" s="108" t="s">
        <v>613</v>
      </c>
      <c r="AG34" s="1434"/>
      <c r="AH34" s="1434"/>
      <c r="AI34" s="1434"/>
      <c r="AJ34" s="1434"/>
      <c r="AK34" s="1434"/>
      <c r="AL34" s="126" t="s">
        <v>854</v>
      </c>
    </row>
    <row r="35" spans="2:38" ht="12.9" customHeight="1" x14ac:dyDescent="0.2">
      <c r="B35" s="1522"/>
      <c r="C35" s="1450"/>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394"/>
      <c r="AF35" s="1395"/>
      <c r="AG35" s="1395"/>
      <c r="AH35" s="1395"/>
      <c r="AI35" s="1395"/>
      <c r="AJ35" s="1395"/>
      <c r="AK35" s="1395"/>
      <c r="AL35" s="1396"/>
    </row>
    <row r="36" spans="2:38" ht="12.9" customHeight="1" x14ac:dyDescent="0.25">
      <c r="B36" s="1522"/>
      <c r="C36" s="1450"/>
      <c r="D36" s="1450"/>
      <c r="E36" s="153" t="s">
        <v>749</v>
      </c>
      <c r="F36" s="159" t="s">
        <v>911</v>
      </c>
      <c r="V36" s="153" t="s">
        <v>792</v>
      </c>
      <c r="X36" s="1531"/>
      <c r="Y36" s="1531"/>
      <c r="Z36" s="1531"/>
      <c r="AA36" s="1531"/>
      <c r="AB36" s="1531"/>
      <c r="AD36" s="126" t="s">
        <v>854</v>
      </c>
      <c r="AE36" s="1397"/>
      <c r="AF36" s="1398"/>
      <c r="AG36" s="1398"/>
      <c r="AH36" s="1398"/>
      <c r="AI36" s="1398"/>
      <c r="AJ36" s="1398"/>
      <c r="AK36" s="1398"/>
      <c r="AL36" s="1399"/>
    </row>
    <row r="37" spans="2:38" ht="12.9" customHeight="1" x14ac:dyDescent="0.25">
      <c r="B37" s="1522"/>
      <c r="C37" s="1450"/>
      <c r="D37" s="1450"/>
      <c r="E37" s="148" t="s">
        <v>764</v>
      </c>
      <c r="F37" s="149" t="s">
        <v>912</v>
      </c>
      <c r="G37" s="90"/>
      <c r="H37" s="90"/>
      <c r="I37" s="90"/>
      <c r="J37" s="90"/>
      <c r="K37" s="90"/>
      <c r="L37" s="90"/>
      <c r="M37" s="90"/>
      <c r="N37" s="90"/>
      <c r="O37" s="90"/>
      <c r="P37" s="90"/>
      <c r="Q37" s="90"/>
      <c r="R37" s="90"/>
      <c r="S37" s="90"/>
      <c r="T37" s="90"/>
      <c r="U37" s="90"/>
      <c r="V37" s="148" t="s">
        <v>793</v>
      </c>
      <c r="W37" s="90"/>
      <c r="X37" s="1531"/>
      <c r="Y37" s="1531"/>
      <c r="Z37" s="1531"/>
      <c r="AA37" s="1531"/>
      <c r="AB37" s="1531"/>
      <c r="AC37" s="90"/>
      <c r="AD37" s="126" t="s">
        <v>854</v>
      </c>
      <c r="AE37" s="1397"/>
      <c r="AF37" s="1398"/>
      <c r="AG37" s="1398"/>
      <c r="AH37" s="1398"/>
      <c r="AI37" s="1398"/>
      <c r="AJ37" s="1398"/>
      <c r="AK37" s="1398"/>
      <c r="AL37" s="1399"/>
    </row>
    <row r="38" spans="2:38" ht="12.9" customHeight="1" x14ac:dyDescent="0.25">
      <c r="B38" s="1522"/>
      <c r="C38" s="1450"/>
      <c r="D38" s="1450"/>
      <c r="E38" s="153" t="s">
        <v>765</v>
      </c>
      <c r="F38" s="159" t="s">
        <v>913</v>
      </c>
      <c r="V38" s="153" t="s">
        <v>798</v>
      </c>
      <c r="X38" s="1531"/>
      <c r="Y38" s="1531"/>
      <c r="Z38" s="1531"/>
      <c r="AA38" s="1531"/>
      <c r="AB38" s="1531"/>
      <c r="AD38" s="126" t="s">
        <v>854</v>
      </c>
      <c r="AE38" s="1397"/>
      <c r="AF38" s="1398"/>
      <c r="AG38" s="1398"/>
      <c r="AH38" s="1398"/>
      <c r="AI38" s="1398"/>
      <c r="AJ38" s="1398"/>
      <c r="AK38" s="1398"/>
      <c r="AL38" s="1399"/>
    </row>
    <row r="39" spans="2:38" ht="12.9" customHeight="1" x14ac:dyDescent="0.25">
      <c r="B39" s="1522"/>
      <c r="C39" s="1450"/>
      <c r="D39" s="1450"/>
      <c r="E39" s="148" t="s">
        <v>766</v>
      </c>
      <c r="F39" s="149" t="s">
        <v>914</v>
      </c>
      <c r="G39" s="90"/>
      <c r="H39" s="90"/>
      <c r="I39" s="90"/>
      <c r="J39" s="90"/>
      <c r="K39" s="90"/>
      <c r="L39" s="90"/>
      <c r="M39" s="90"/>
      <c r="N39" s="90"/>
      <c r="O39" s="90"/>
      <c r="P39" s="90"/>
      <c r="Q39" s="90"/>
      <c r="R39" s="90"/>
      <c r="S39" s="90"/>
      <c r="T39" s="90"/>
      <c r="U39" s="90"/>
      <c r="V39" s="148" t="s">
        <v>794</v>
      </c>
      <c r="W39" s="90"/>
      <c r="X39" s="1531"/>
      <c r="Y39" s="1531"/>
      <c r="Z39" s="1531"/>
      <c r="AA39" s="1531"/>
      <c r="AB39" s="1531"/>
      <c r="AC39" s="90"/>
      <c r="AD39" s="126" t="s">
        <v>854</v>
      </c>
      <c r="AE39" s="1400"/>
      <c r="AF39" s="1401"/>
      <c r="AG39" s="1401"/>
      <c r="AH39" s="1401"/>
      <c r="AI39" s="1401"/>
      <c r="AJ39" s="1401"/>
      <c r="AK39" s="1401"/>
      <c r="AL39" s="1402"/>
    </row>
    <row r="40" spans="2:38" ht="12.9" customHeight="1" x14ac:dyDescent="0.25">
      <c r="B40" s="1522"/>
      <c r="C40" s="1450"/>
      <c r="D40" s="1451"/>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497">
        <v>0</v>
      </c>
      <c r="AH40" s="1497"/>
      <c r="AI40" s="1497"/>
      <c r="AJ40" s="1497"/>
      <c r="AK40" s="1497"/>
      <c r="AL40" s="126" t="s">
        <v>854</v>
      </c>
    </row>
    <row r="41" spans="2:38" ht="12.9" customHeight="1" x14ac:dyDescent="0.25">
      <c r="B41" s="1522"/>
      <c r="C41" s="1451"/>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496">
        <f>+AG34</f>
        <v>0</v>
      </c>
      <c r="AH41" s="1496"/>
      <c r="AI41" s="1496"/>
      <c r="AJ41" s="1496"/>
      <c r="AK41" s="1496"/>
      <c r="AL41" s="126" t="s">
        <v>854</v>
      </c>
    </row>
    <row r="42" spans="2:38" ht="12.9" customHeight="1" x14ac:dyDescent="0.2">
      <c r="B42" s="1522"/>
      <c r="C42" s="115">
        <v>2</v>
      </c>
      <c r="D42" s="138" t="s">
        <v>919</v>
      </c>
      <c r="V42" s="79"/>
      <c r="AE42" s="1394"/>
      <c r="AF42" s="1395"/>
      <c r="AG42" s="1395"/>
      <c r="AH42" s="1395"/>
      <c r="AI42" s="1395"/>
      <c r="AJ42" s="1395"/>
      <c r="AK42" s="1395"/>
      <c r="AL42" s="1396"/>
    </row>
    <row r="43" spans="2:38" ht="12.9" customHeight="1" x14ac:dyDescent="0.2">
      <c r="B43" s="1522"/>
      <c r="C43" s="1449"/>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397"/>
      <c r="AF43" s="1398"/>
      <c r="AG43" s="1398"/>
      <c r="AH43" s="1398"/>
      <c r="AI43" s="1398"/>
      <c r="AJ43" s="1398"/>
      <c r="AK43" s="1398"/>
      <c r="AL43" s="1399"/>
    </row>
    <row r="44" spans="2:38" ht="12.9" customHeight="1" x14ac:dyDescent="0.25">
      <c r="B44" s="1522"/>
      <c r="C44" s="1450"/>
      <c r="D44" s="1396"/>
      <c r="E44" s="176" t="s">
        <v>749</v>
      </c>
      <c r="F44" s="159" t="s">
        <v>921</v>
      </c>
      <c r="V44" s="148" t="s">
        <v>922</v>
      </c>
      <c r="X44" s="1391"/>
      <c r="Y44" s="1391"/>
      <c r="Z44" s="1391"/>
      <c r="AA44" s="1391"/>
      <c r="AB44" s="1391"/>
      <c r="AD44" s="126" t="s">
        <v>854</v>
      </c>
      <c r="AE44" s="1397"/>
      <c r="AF44" s="1398"/>
      <c r="AG44" s="1398"/>
      <c r="AH44" s="1398"/>
      <c r="AI44" s="1398"/>
      <c r="AJ44" s="1398"/>
      <c r="AK44" s="1398"/>
      <c r="AL44" s="1399"/>
    </row>
    <row r="45" spans="2:38" ht="12.9" customHeight="1" x14ac:dyDescent="0.25">
      <c r="B45" s="1522"/>
      <c r="C45" s="1450"/>
      <c r="D45" s="1399"/>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397"/>
      <c r="AF45" s="1398"/>
      <c r="AG45" s="1398"/>
      <c r="AH45" s="1398"/>
      <c r="AI45" s="1398"/>
      <c r="AJ45" s="1398"/>
      <c r="AK45" s="1398"/>
      <c r="AL45" s="1399"/>
    </row>
    <row r="46" spans="2:38" ht="12.9" customHeight="1" x14ac:dyDescent="0.25">
      <c r="B46" s="1522"/>
      <c r="C46" s="1450"/>
      <c r="D46" s="1399"/>
      <c r="E46" s="1396"/>
      <c r="F46" s="153" t="s">
        <v>791</v>
      </c>
      <c r="G46" s="205" t="s">
        <v>924</v>
      </c>
      <c r="V46" s="153" t="s">
        <v>925</v>
      </c>
      <c r="X46" s="1391"/>
      <c r="Y46" s="1391"/>
      <c r="Z46" s="1391"/>
      <c r="AA46" s="1391"/>
      <c r="AB46" s="1391"/>
      <c r="AD46" s="126" t="s">
        <v>854</v>
      </c>
      <c r="AE46" s="1397"/>
      <c r="AF46" s="1398"/>
      <c r="AG46" s="1398"/>
      <c r="AH46" s="1398"/>
      <c r="AI46" s="1398"/>
      <c r="AJ46" s="1398"/>
      <c r="AK46" s="1398"/>
      <c r="AL46" s="1399"/>
    </row>
    <row r="47" spans="2:38" ht="12.9" customHeight="1" x14ac:dyDescent="0.25">
      <c r="B47" s="1522"/>
      <c r="C47" s="1450"/>
      <c r="D47" s="1399"/>
      <c r="E47" s="1399"/>
      <c r="F47" s="148" t="s">
        <v>797</v>
      </c>
      <c r="G47" s="141" t="s">
        <v>926</v>
      </c>
      <c r="H47" s="90"/>
      <c r="I47" s="90"/>
      <c r="J47" s="90"/>
      <c r="K47" s="90"/>
      <c r="L47" s="90"/>
      <c r="M47" s="90"/>
      <c r="N47" s="90"/>
      <c r="O47" s="90"/>
      <c r="P47" s="90"/>
      <c r="Q47" s="90"/>
      <c r="R47" s="90"/>
      <c r="S47" s="90"/>
      <c r="T47" s="90"/>
      <c r="U47" s="90"/>
      <c r="V47" s="148" t="s">
        <v>927</v>
      </c>
      <c r="W47" s="90"/>
      <c r="X47" s="1391"/>
      <c r="Y47" s="1391"/>
      <c r="Z47" s="1391"/>
      <c r="AA47" s="1391"/>
      <c r="AB47" s="1391"/>
      <c r="AC47" s="90"/>
      <c r="AD47" s="126" t="s">
        <v>854</v>
      </c>
      <c r="AE47" s="1397"/>
      <c r="AF47" s="1398"/>
      <c r="AG47" s="1398"/>
      <c r="AH47" s="1398"/>
      <c r="AI47" s="1398"/>
      <c r="AJ47" s="1398"/>
      <c r="AK47" s="1398"/>
      <c r="AL47" s="1399"/>
    </row>
    <row r="48" spans="2:38" ht="12.9" customHeight="1" x14ac:dyDescent="0.25">
      <c r="B48" s="1522"/>
      <c r="C48" s="1450"/>
      <c r="D48" s="1399"/>
      <c r="E48" s="1399"/>
      <c r="F48" s="153" t="s">
        <v>800</v>
      </c>
      <c r="G48" s="205" t="s">
        <v>928</v>
      </c>
      <c r="V48" s="153" t="s">
        <v>929</v>
      </c>
      <c r="X48" s="1391">
        <v>0</v>
      </c>
      <c r="Y48" s="1391"/>
      <c r="Z48" s="1391"/>
      <c r="AA48" s="1391"/>
      <c r="AB48" s="1391"/>
      <c r="AD48" s="126" t="s">
        <v>854</v>
      </c>
      <c r="AE48" s="1397"/>
      <c r="AF48" s="1398"/>
      <c r="AG48" s="1398"/>
      <c r="AH48" s="1398"/>
      <c r="AI48" s="1398"/>
      <c r="AJ48" s="1398"/>
      <c r="AK48" s="1398"/>
      <c r="AL48" s="1399"/>
    </row>
    <row r="49" spans="2:38" ht="12.9" customHeight="1" x14ac:dyDescent="0.25">
      <c r="B49" s="1522"/>
      <c r="C49" s="1450"/>
      <c r="D49" s="1402"/>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391">
        <v>0</v>
      </c>
      <c r="AH49" s="1391"/>
      <c r="AI49" s="1391"/>
      <c r="AJ49" s="1391"/>
      <c r="AK49" s="1391"/>
      <c r="AL49" s="127" t="s">
        <v>854</v>
      </c>
    </row>
    <row r="50" spans="2:38" ht="12.9" customHeight="1" x14ac:dyDescent="0.2">
      <c r="B50" s="1522"/>
      <c r="C50" s="1450"/>
      <c r="D50" s="158" t="s">
        <v>615</v>
      </c>
      <c r="E50" s="207" t="s">
        <v>932</v>
      </c>
      <c r="F50" s="135"/>
      <c r="V50" s="137"/>
      <c r="AE50" s="1484"/>
      <c r="AF50" s="1485"/>
      <c r="AG50" s="1485"/>
      <c r="AH50" s="1485"/>
      <c r="AI50" s="1485"/>
      <c r="AJ50" s="1485"/>
      <c r="AK50" s="1485"/>
      <c r="AL50" s="1461"/>
    </row>
    <row r="51" spans="2:38" ht="12.9" customHeight="1" x14ac:dyDescent="0.25">
      <c r="B51" s="1522"/>
      <c r="C51" s="1450"/>
      <c r="D51" s="1486"/>
      <c r="E51" s="183" t="s">
        <v>749</v>
      </c>
      <c r="F51" s="149" t="s">
        <v>924</v>
      </c>
      <c r="G51" s="90"/>
      <c r="H51" s="90"/>
      <c r="I51" s="90"/>
      <c r="J51" s="90"/>
      <c r="K51" s="90"/>
      <c r="L51" s="90"/>
      <c r="M51" s="90"/>
      <c r="N51" s="90"/>
      <c r="O51" s="90"/>
      <c r="P51" s="90"/>
      <c r="Q51" s="90"/>
      <c r="R51" s="90"/>
      <c r="S51" s="90"/>
      <c r="T51" s="90"/>
      <c r="U51" s="90"/>
      <c r="V51" s="148" t="s">
        <v>792</v>
      </c>
      <c r="W51" s="90"/>
      <c r="X51" s="1391"/>
      <c r="Y51" s="1391"/>
      <c r="Z51" s="1391"/>
      <c r="AA51" s="1391"/>
      <c r="AB51" s="1391"/>
      <c r="AD51" s="126" t="s">
        <v>854</v>
      </c>
      <c r="AE51" s="1486"/>
      <c r="AF51" s="1487"/>
      <c r="AG51" s="1487"/>
      <c r="AH51" s="1487"/>
      <c r="AI51" s="1487"/>
      <c r="AJ51" s="1487"/>
      <c r="AK51" s="1487"/>
      <c r="AL51" s="1462"/>
    </row>
    <row r="52" spans="2:38" ht="12.9" customHeight="1" x14ac:dyDescent="0.25">
      <c r="B52" s="1522"/>
      <c r="C52" s="1450"/>
      <c r="D52" s="1486"/>
      <c r="E52" s="173" t="s">
        <v>764</v>
      </c>
      <c r="F52" s="159" t="s">
        <v>926</v>
      </c>
      <c r="V52" s="153" t="s">
        <v>793</v>
      </c>
      <c r="X52" s="1391"/>
      <c r="Y52" s="1391"/>
      <c r="Z52" s="1391"/>
      <c r="AA52" s="1391"/>
      <c r="AB52" s="1391"/>
      <c r="AD52" s="126" t="s">
        <v>854</v>
      </c>
      <c r="AE52" s="1488"/>
      <c r="AF52" s="1489"/>
      <c r="AG52" s="1489"/>
      <c r="AH52" s="1489"/>
      <c r="AI52" s="1489"/>
      <c r="AJ52" s="1489"/>
      <c r="AK52" s="1489"/>
      <c r="AL52" s="1463"/>
    </row>
    <row r="53" spans="2:38" ht="12.9" customHeight="1" x14ac:dyDescent="0.25">
      <c r="B53" s="1522"/>
      <c r="C53" s="1450"/>
      <c r="D53" s="1486"/>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391">
        <v>0</v>
      </c>
      <c r="AH53" s="1391"/>
      <c r="AI53" s="1391"/>
      <c r="AJ53" s="1391"/>
      <c r="AK53" s="1391"/>
      <c r="AL53" s="126" t="s">
        <v>854</v>
      </c>
    </row>
    <row r="54" spans="2:38" ht="12.9" customHeight="1" x14ac:dyDescent="0.25">
      <c r="B54" s="1522"/>
      <c r="C54" s="1451"/>
      <c r="D54" s="176" t="s">
        <v>617</v>
      </c>
      <c r="E54" s="136" t="s">
        <v>444</v>
      </c>
      <c r="F54" s="137"/>
      <c r="G54" s="135"/>
      <c r="V54" s="137"/>
      <c r="AE54" s="145" t="s">
        <v>795</v>
      </c>
      <c r="AF54" s="120"/>
      <c r="AG54" s="1391">
        <v>0</v>
      </c>
      <c r="AH54" s="1391"/>
      <c r="AI54" s="1391"/>
      <c r="AJ54" s="1391"/>
      <c r="AK54" s="1391"/>
      <c r="AL54" s="126" t="s">
        <v>854</v>
      </c>
    </row>
    <row r="55" spans="2:38" ht="12.9" customHeight="1" x14ac:dyDescent="0.25">
      <c r="B55" s="1522"/>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391"/>
      <c r="AH55" s="1391"/>
      <c r="AI55" s="1391"/>
      <c r="AJ55" s="1391"/>
      <c r="AK55" s="1391"/>
      <c r="AL55" s="126" t="s">
        <v>854</v>
      </c>
    </row>
    <row r="56" spans="2:38" ht="12.9" customHeight="1" x14ac:dyDescent="0.25">
      <c r="B56" s="1523"/>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391">
        <v>0</v>
      </c>
      <c r="AH56" s="1391"/>
      <c r="AI56" s="1391"/>
      <c r="AJ56" s="1391"/>
      <c r="AK56" s="1391"/>
      <c r="AL56" s="126" t="s">
        <v>854</v>
      </c>
    </row>
    <row r="57" spans="2:38" ht="12.9" customHeight="1" x14ac:dyDescent="0.2">
      <c r="B57" s="1522"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484"/>
      <c r="AF57" s="1485"/>
      <c r="AG57" s="1485"/>
      <c r="AH57" s="1485"/>
      <c r="AI57" s="1485"/>
      <c r="AJ57" s="1485"/>
      <c r="AK57" s="1485"/>
      <c r="AL57" s="1461"/>
    </row>
    <row r="58" spans="2:38" ht="12.9" customHeight="1" x14ac:dyDescent="0.25">
      <c r="B58" s="1522"/>
      <c r="C58" s="153"/>
      <c r="D58" s="144" t="s">
        <v>613</v>
      </c>
      <c r="E58" s="270" t="s">
        <v>936</v>
      </c>
      <c r="F58" s="136"/>
      <c r="V58" s="145" t="s">
        <v>937</v>
      </c>
      <c r="W58" s="85"/>
      <c r="X58" s="1532"/>
      <c r="Y58" s="1532"/>
      <c r="Z58" s="1532"/>
      <c r="AA58" s="1532"/>
      <c r="AB58" s="1532"/>
      <c r="AC58" s="80"/>
      <c r="AD58" s="126" t="s">
        <v>854</v>
      </c>
      <c r="AE58" s="1486"/>
      <c r="AF58" s="1487"/>
      <c r="AG58" s="1487"/>
      <c r="AH58" s="1487"/>
      <c r="AI58" s="1487"/>
      <c r="AJ58" s="1487"/>
      <c r="AK58" s="1487"/>
      <c r="AL58" s="1462"/>
    </row>
    <row r="59" spans="2:38" ht="12.9" customHeight="1" x14ac:dyDescent="0.25">
      <c r="B59" s="1522"/>
      <c r="C59" s="153"/>
      <c r="D59" s="140" t="s">
        <v>615</v>
      </c>
      <c r="E59" s="271" t="s">
        <v>825</v>
      </c>
      <c r="F59" s="150"/>
      <c r="G59" s="90"/>
      <c r="H59" s="90"/>
      <c r="I59" s="90"/>
      <c r="J59" s="90"/>
      <c r="K59" s="90"/>
      <c r="L59" s="90"/>
      <c r="M59" s="90"/>
      <c r="N59" s="90"/>
      <c r="O59" s="90"/>
      <c r="P59" s="90"/>
      <c r="Q59" s="90"/>
      <c r="R59" s="90"/>
      <c r="S59" s="90"/>
      <c r="T59" s="90"/>
      <c r="U59" s="89"/>
      <c r="V59" s="148" t="s">
        <v>938</v>
      </c>
      <c r="X59" s="1434"/>
      <c r="Y59" s="1434"/>
      <c r="Z59" s="1434"/>
      <c r="AA59" s="1434"/>
      <c r="AB59" s="1434"/>
      <c r="AD59" s="126" t="s">
        <v>854</v>
      </c>
      <c r="AE59" s="1486"/>
      <c r="AF59" s="1487"/>
      <c r="AG59" s="1487"/>
      <c r="AH59" s="1487"/>
      <c r="AI59" s="1487"/>
      <c r="AJ59" s="1487"/>
      <c r="AK59" s="1487"/>
      <c r="AL59" s="1462"/>
    </row>
    <row r="60" spans="2:38" ht="12.9" customHeight="1" x14ac:dyDescent="0.25">
      <c r="B60" s="1522"/>
      <c r="C60" s="152"/>
      <c r="D60" s="140" t="s">
        <v>617</v>
      </c>
      <c r="E60" s="202" t="s">
        <v>939</v>
      </c>
      <c r="F60" s="136"/>
      <c r="V60" s="148" t="s">
        <v>918</v>
      </c>
      <c r="W60" s="96"/>
      <c r="X60" s="1496">
        <f>X58-X59</f>
        <v>0</v>
      </c>
      <c r="Y60" s="1496"/>
      <c r="Z60" s="1496"/>
      <c r="AA60" s="1496"/>
      <c r="AB60" s="1496"/>
      <c r="AC60" s="90"/>
      <c r="AD60" s="126" t="s">
        <v>854</v>
      </c>
      <c r="AE60" s="1486"/>
      <c r="AF60" s="1487"/>
      <c r="AG60" s="1487"/>
      <c r="AH60" s="1487"/>
      <c r="AI60" s="1487"/>
      <c r="AJ60" s="1487"/>
      <c r="AK60" s="1487"/>
      <c r="AL60" s="1462"/>
    </row>
    <row r="61" spans="2:38" ht="12.9" customHeight="1" x14ac:dyDescent="0.25">
      <c r="B61" s="1522"/>
      <c r="C61" s="152"/>
      <c r="D61" s="140" t="s">
        <v>619</v>
      </c>
      <c r="E61" s="138" t="s">
        <v>940</v>
      </c>
      <c r="F61" s="150"/>
      <c r="G61" s="90"/>
      <c r="H61" s="90"/>
      <c r="I61" s="90"/>
      <c r="J61" s="90"/>
      <c r="K61" s="90"/>
      <c r="L61" s="90"/>
      <c r="M61" s="90"/>
      <c r="N61" s="90"/>
      <c r="O61" s="90"/>
      <c r="P61" s="90"/>
      <c r="Q61" s="90"/>
      <c r="R61" s="90"/>
      <c r="S61" s="90"/>
      <c r="T61" s="90"/>
      <c r="U61" s="89"/>
      <c r="V61" s="148" t="s">
        <v>941</v>
      </c>
      <c r="W61" s="96"/>
      <c r="X61" s="1391"/>
      <c r="Y61" s="1391"/>
      <c r="Z61" s="1391"/>
      <c r="AA61" s="1391"/>
      <c r="AB61" s="1391"/>
      <c r="AC61" s="90"/>
      <c r="AD61" s="126" t="s">
        <v>854</v>
      </c>
      <c r="AE61" s="1488"/>
      <c r="AF61" s="1489"/>
      <c r="AG61" s="1489"/>
      <c r="AH61" s="1489"/>
      <c r="AI61" s="1489"/>
      <c r="AJ61" s="1489"/>
      <c r="AK61" s="1489"/>
      <c r="AL61" s="1463"/>
    </row>
    <row r="62" spans="2:38" ht="12.9" customHeight="1" x14ac:dyDescent="0.25">
      <c r="B62" s="1522"/>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496">
        <f>X60</f>
        <v>0</v>
      </c>
      <c r="AH62" s="1496"/>
      <c r="AI62" s="1496"/>
      <c r="AJ62" s="1496"/>
      <c r="AK62" s="1496"/>
      <c r="AL62" s="126" t="s">
        <v>854</v>
      </c>
    </row>
    <row r="63" spans="2:38" ht="12.9" customHeight="1" x14ac:dyDescent="0.2">
      <c r="B63" s="1522"/>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484"/>
      <c r="AF63" s="1485"/>
      <c r="AG63" s="1485"/>
      <c r="AH63" s="1485"/>
      <c r="AI63" s="1485"/>
      <c r="AJ63" s="1485"/>
      <c r="AK63" s="1485"/>
      <c r="AL63" s="1461"/>
    </row>
    <row r="64" spans="2:38" ht="12.9" customHeight="1" x14ac:dyDescent="0.2">
      <c r="B64" s="1522"/>
      <c r="C64" s="142"/>
      <c r="D64" s="145" t="s">
        <v>613</v>
      </c>
      <c r="E64" s="156" t="s">
        <v>945</v>
      </c>
      <c r="F64" s="136"/>
      <c r="V64" s="137"/>
      <c r="AE64" s="1486"/>
      <c r="AF64" s="1487"/>
      <c r="AG64" s="1487"/>
      <c r="AH64" s="1487"/>
      <c r="AI64" s="1487"/>
      <c r="AJ64" s="1487"/>
      <c r="AK64" s="1487"/>
      <c r="AL64" s="1462"/>
    </row>
    <row r="65" spans="1:38" ht="12.9" customHeight="1" x14ac:dyDescent="0.25">
      <c r="B65" s="1522"/>
      <c r="C65" s="152"/>
      <c r="D65" s="143"/>
      <c r="E65" s="148" t="s">
        <v>749</v>
      </c>
      <c r="F65" s="138" t="s">
        <v>946</v>
      </c>
      <c r="G65" s="90"/>
      <c r="H65" s="90"/>
      <c r="I65" s="90"/>
      <c r="J65" s="90"/>
      <c r="K65" s="90"/>
      <c r="L65" s="90"/>
      <c r="M65" s="90"/>
      <c r="N65" s="90"/>
      <c r="O65" s="90"/>
      <c r="P65" s="90"/>
      <c r="Q65" s="90"/>
      <c r="R65" s="90"/>
      <c r="S65" s="90"/>
      <c r="T65" s="90"/>
      <c r="U65" s="89"/>
      <c r="V65" s="148" t="s">
        <v>922</v>
      </c>
      <c r="W65" s="90"/>
      <c r="X65" s="1391"/>
      <c r="Y65" s="1391"/>
      <c r="Z65" s="1391"/>
      <c r="AA65" s="1391"/>
      <c r="AB65" s="1391"/>
      <c r="AC65" s="90"/>
      <c r="AD65" s="127" t="s">
        <v>854</v>
      </c>
      <c r="AE65" s="1486"/>
      <c r="AF65" s="1487"/>
      <c r="AG65" s="1487"/>
      <c r="AH65" s="1487"/>
      <c r="AI65" s="1487"/>
      <c r="AJ65" s="1487"/>
      <c r="AK65" s="1487"/>
      <c r="AL65" s="1462"/>
    </row>
    <row r="66" spans="1:38" ht="12.9" customHeight="1" x14ac:dyDescent="0.25">
      <c r="B66" s="1522"/>
      <c r="C66" s="152"/>
      <c r="D66" s="153"/>
      <c r="E66" s="148" t="s">
        <v>764</v>
      </c>
      <c r="F66" s="138" t="s">
        <v>947</v>
      </c>
      <c r="G66" s="90"/>
      <c r="H66" s="90"/>
      <c r="I66" s="90"/>
      <c r="J66" s="90"/>
      <c r="K66" s="90"/>
      <c r="L66" s="90"/>
      <c r="M66" s="90"/>
      <c r="N66" s="90"/>
      <c r="O66" s="90"/>
      <c r="P66" s="90"/>
      <c r="Q66" s="90"/>
      <c r="R66" s="90"/>
      <c r="S66" s="90"/>
      <c r="T66" s="90"/>
      <c r="U66" s="89"/>
      <c r="V66" s="148" t="s">
        <v>948</v>
      </c>
      <c r="W66" s="90"/>
      <c r="X66" s="1391"/>
      <c r="Y66" s="1391"/>
      <c r="Z66" s="1391"/>
      <c r="AA66" s="1391"/>
      <c r="AB66" s="1391"/>
      <c r="AC66" s="90"/>
      <c r="AD66" s="127" t="s">
        <v>854</v>
      </c>
      <c r="AE66" s="1488"/>
      <c r="AF66" s="1489"/>
      <c r="AG66" s="1489"/>
      <c r="AH66" s="1489"/>
      <c r="AI66" s="1489"/>
      <c r="AJ66" s="1489"/>
      <c r="AK66" s="1489"/>
      <c r="AL66" s="1463"/>
    </row>
    <row r="67" spans="1:38" ht="12.9" customHeight="1" x14ac:dyDescent="0.25">
      <c r="B67" s="1522"/>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393">
        <v>0</v>
      </c>
      <c r="AH67" s="1393"/>
      <c r="AI67" s="1393"/>
      <c r="AJ67" s="1393"/>
      <c r="AK67" s="1393"/>
      <c r="AL67" s="126" t="s">
        <v>854</v>
      </c>
    </row>
    <row r="68" spans="1:38" ht="12.9" customHeight="1" x14ac:dyDescent="0.2">
      <c r="B68" s="1522"/>
      <c r="C68" s="152"/>
      <c r="D68" s="148" t="s">
        <v>615</v>
      </c>
      <c r="E68" s="154" t="s">
        <v>950</v>
      </c>
      <c r="F68" s="136"/>
      <c r="V68" s="137"/>
      <c r="AE68" s="1484"/>
      <c r="AF68" s="1485"/>
      <c r="AG68" s="1485"/>
      <c r="AH68" s="1485"/>
      <c r="AI68" s="1485"/>
      <c r="AJ68" s="1485"/>
      <c r="AK68" s="1485"/>
      <c r="AL68" s="1461"/>
    </row>
    <row r="69" spans="1:38" ht="12.9" customHeight="1" x14ac:dyDescent="0.25">
      <c r="B69" s="1522"/>
      <c r="C69" s="152"/>
      <c r="D69" s="143"/>
      <c r="E69" s="148" t="s">
        <v>749</v>
      </c>
      <c r="F69" s="138" t="s">
        <v>951</v>
      </c>
      <c r="G69" s="90"/>
      <c r="H69" s="90"/>
      <c r="I69" s="90"/>
      <c r="J69" s="90"/>
      <c r="K69" s="90"/>
      <c r="L69" s="90"/>
      <c r="M69" s="90"/>
      <c r="N69" s="90"/>
      <c r="O69" s="90"/>
      <c r="P69" s="90"/>
      <c r="Q69" s="90"/>
      <c r="R69" s="90"/>
      <c r="S69" s="90"/>
      <c r="T69" s="90"/>
      <c r="U69" s="90"/>
      <c r="V69" s="148" t="s">
        <v>792</v>
      </c>
      <c r="W69" s="90"/>
      <c r="X69" s="1391"/>
      <c r="Y69" s="1391"/>
      <c r="Z69" s="1391"/>
      <c r="AA69" s="1391"/>
      <c r="AB69" s="1391"/>
      <c r="AC69" s="90"/>
      <c r="AD69" s="127" t="s">
        <v>854</v>
      </c>
      <c r="AE69" s="1486"/>
      <c r="AF69" s="1487"/>
      <c r="AG69" s="1487"/>
      <c r="AH69" s="1487"/>
      <c r="AI69" s="1487"/>
      <c r="AJ69" s="1487"/>
      <c r="AK69" s="1487"/>
      <c r="AL69" s="1462"/>
    </row>
    <row r="70" spans="1:38" ht="12.9" customHeight="1" x14ac:dyDescent="0.25">
      <c r="B70" s="106"/>
      <c r="C70" s="1453"/>
      <c r="D70" s="1453"/>
      <c r="E70" s="145" t="s">
        <v>764</v>
      </c>
      <c r="F70" s="202" t="s">
        <v>603</v>
      </c>
      <c r="V70" s="153" t="s">
        <v>793</v>
      </c>
      <c r="X70" s="1483"/>
      <c r="Y70" s="1483"/>
      <c r="Z70" s="1483"/>
      <c r="AA70" s="1483"/>
      <c r="AB70" s="1483"/>
      <c r="AD70" s="134" t="s">
        <v>854</v>
      </c>
      <c r="AE70" s="1486"/>
      <c r="AF70" s="1487"/>
      <c r="AG70" s="1487"/>
      <c r="AH70" s="1487"/>
      <c r="AI70" s="1487"/>
      <c r="AJ70" s="1487"/>
      <c r="AK70" s="1487"/>
      <c r="AL70" s="1462"/>
    </row>
    <row r="71" spans="1:38" ht="12.9" customHeight="1" x14ac:dyDescent="0.25">
      <c r="B71" s="106"/>
      <c r="C71" s="1453"/>
      <c r="D71" s="1453"/>
      <c r="E71" s="148" t="s">
        <v>765</v>
      </c>
      <c r="F71" s="138" t="s">
        <v>952</v>
      </c>
      <c r="G71" s="90"/>
      <c r="H71" s="90"/>
      <c r="I71" s="90"/>
      <c r="J71" s="90"/>
      <c r="K71" s="90"/>
      <c r="L71" s="90"/>
      <c r="M71" s="90"/>
      <c r="N71" s="90"/>
      <c r="O71" s="90"/>
      <c r="P71" s="90"/>
      <c r="Q71" s="90"/>
      <c r="R71" s="90"/>
      <c r="S71" s="90"/>
      <c r="T71" s="90"/>
      <c r="U71" s="89"/>
      <c r="V71" s="148" t="s">
        <v>798</v>
      </c>
      <c r="W71" s="90"/>
      <c r="X71" s="1390"/>
      <c r="Y71" s="1390"/>
      <c r="Z71" s="1390"/>
      <c r="AA71" s="1390"/>
      <c r="AB71" s="1390"/>
      <c r="AC71" s="90"/>
      <c r="AD71" s="127" t="s">
        <v>854</v>
      </c>
      <c r="AE71" s="1488"/>
      <c r="AF71" s="1489"/>
      <c r="AG71" s="1489"/>
      <c r="AH71" s="1489"/>
      <c r="AI71" s="1489"/>
      <c r="AJ71" s="1489"/>
      <c r="AK71" s="1489"/>
      <c r="AL71" s="1463"/>
    </row>
    <row r="72" spans="1:38" ht="12.9" customHeight="1" x14ac:dyDescent="0.25">
      <c r="B72" s="106"/>
      <c r="C72" s="1453"/>
      <c r="D72" s="1454"/>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391">
        <v>0</v>
      </c>
      <c r="AH72" s="1391"/>
      <c r="AI72" s="1391"/>
      <c r="AJ72" s="1391"/>
      <c r="AK72" s="1391"/>
      <c r="AL72" s="126" t="s">
        <v>854</v>
      </c>
    </row>
    <row r="73" spans="1:38" ht="12.9" customHeight="1" x14ac:dyDescent="0.25">
      <c r="B73" s="106"/>
      <c r="C73" s="1454"/>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391">
        <v>0</v>
      </c>
      <c r="AH73" s="1391"/>
      <c r="AI73" s="1391"/>
      <c r="AJ73" s="1391"/>
      <c r="AK73" s="1391"/>
      <c r="AL73" s="126" t="s">
        <v>854</v>
      </c>
    </row>
    <row r="74" spans="1:38" ht="14.25" customHeight="1" x14ac:dyDescent="0.2">
      <c r="B74" s="106"/>
      <c r="C74" s="148">
        <v>3</v>
      </c>
      <c r="D74" s="138" t="s">
        <v>955</v>
      </c>
      <c r="E74" s="136"/>
      <c r="F74" s="136"/>
      <c r="V74" s="137"/>
      <c r="AE74" s="1484"/>
      <c r="AF74" s="1485"/>
      <c r="AG74" s="1485"/>
      <c r="AH74" s="1485"/>
      <c r="AI74" s="1485"/>
      <c r="AJ74" s="1485"/>
      <c r="AK74" s="1485"/>
      <c r="AL74" s="1461"/>
    </row>
    <row r="75" spans="1:38" ht="13.5" customHeight="1" x14ac:dyDescent="0.2">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488"/>
      <c r="AF75" s="1489"/>
      <c r="AG75" s="1489"/>
      <c r="AH75" s="1489"/>
      <c r="AI75" s="1489"/>
      <c r="AJ75" s="1489"/>
      <c r="AK75" s="1489"/>
      <c r="AL75" s="1463"/>
    </row>
    <row r="76" spans="1:38" ht="18" customHeight="1" x14ac:dyDescent="0.2">
      <c r="A76" s="1395"/>
      <c r="B76" s="1395"/>
      <c r="C76" s="1395"/>
      <c r="D76" s="1395"/>
      <c r="E76" s="1395"/>
      <c r="F76" s="1395"/>
      <c r="G76" s="1395"/>
      <c r="H76" s="1395"/>
      <c r="I76" s="1395"/>
      <c r="J76" s="1395"/>
      <c r="K76" s="1395"/>
      <c r="L76" s="1395"/>
      <c r="M76" s="1395"/>
      <c r="N76" s="1395"/>
      <c r="O76" s="1395"/>
      <c r="P76" s="1395"/>
      <c r="Q76" s="1395"/>
      <c r="R76" s="1395"/>
      <c r="S76" s="1395"/>
      <c r="T76" s="1395"/>
      <c r="U76" s="1395"/>
      <c r="V76" s="1395"/>
      <c r="W76" s="1395"/>
      <c r="X76" s="1395"/>
      <c r="Y76" s="1395"/>
      <c r="Z76" s="1395"/>
      <c r="AA76" s="1395"/>
      <c r="AB76" s="1395"/>
      <c r="AC76" s="82"/>
      <c r="AD76" s="82"/>
      <c r="AE76" s="251" t="s">
        <v>492</v>
      </c>
      <c r="AF76" s="1525" t="s">
        <v>907</v>
      </c>
      <c r="AG76" s="1525"/>
      <c r="AH76" s="1525"/>
      <c r="AI76" s="1525"/>
      <c r="AJ76" s="252" t="s">
        <v>841</v>
      </c>
      <c r="AK76" s="248"/>
      <c r="AL76" s="250">
        <v>9.06</v>
      </c>
    </row>
    <row r="77" spans="1:38" x14ac:dyDescent="0.2">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 customHeight="1" x14ac:dyDescent="0.2">
      <c r="B78" s="1521"/>
      <c r="C78" s="1452"/>
      <c r="D78" s="1452"/>
      <c r="E78" s="145" t="s">
        <v>749</v>
      </c>
      <c r="F78" s="202" t="s">
        <v>957</v>
      </c>
      <c r="V78" s="204"/>
      <c r="AE78" s="1484"/>
      <c r="AF78" s="1485"/>
      <c r="AG78" s="1485"/>
      <c r="AH78" s="1485"/>
      <c r="AI78" s="1485"/>
      <c r="AJ78" s="1485"/>
      <c r="AK78" s="1485"/>
      <c r="AL78" s="1461"/>
    </row>
    <row r="79" spans="1:38" ht="12.9" customHeight="1" x14ac:dyDescent="0.25">
      <c r="B79" s="1522"/>
      <c r="C79" s="1453"/>
      <c r="D79" s="1453"/>
      <c r="E79" s="1452"/>
      <c r="F79" s="157" t="s">
        <v>791</v>
      </c>
      <c r="G79" s="155" t="s">
        <v>959</v>
      </c>
      <c r="H79" s="90"/>
      <c r="I79" s="90"/>
      <c r="J79" s="90"/>
      <c r="K79" s="90"/>
      <c r="L79" s="90"/>
      <c r="M79" s="90"/>
      <c r="N79" s="90"/>
      <c r="O79" s="90"/>
      <c r="P79" s="90"/>
      <c r="Q79" s="90"/>
      <c r="R79" s="90"/>
      <c r="S79" s="90"/>
      <c r="T79" s="90"/>
      <c r="U79" s="89"/>
      <c r="V79" s="157" t="s">
        <v>960</v>
      </c>
      <c r="W79" s="90"/>
      <c r="X79" s="1391"/>
      <c r="Y79" s="1391"/>
      <c r="Z79" s="1391"/>
      <c r="AA79" s="1391"/>
      <c r="AB79" s="1391"/>
      <c r="AC79" s="90"/>
      <c r="AD79" s="127" t="s">
        <v>854</v>
      </c>
      <c r="AE79" s="1486"/>
      <c r="AF79" s="1487"/>
      <c r="AG79" s="1487"/>
      <c r="AH79" s="1487"/>
      <c r="AI79" s="1487"/>
      <c r="AJ79" s="1487"/>
      <c r="AK79" s="1487"/>
      <c r="AL79" s="1462"/>
    </row>
    <row r="80" spans="1:38" ht="12.9" customHeight="1" x14ac:dyDescent="0.25">
      <c r="B80" s="1522"/>
      <c r="C80" s="1453"/>
      <c r="D80" s="1453"/>
      <c r="E80" s="1453"/>
      <c r="F80" s="148" t="s">
        <v>797</v>
      </c>
      <c r="G80" s="140" t="s">
        <v>961</v>
      </c>
      <c r="H80" s="90"/>
      <c r="I80" s="90"/>
      <c r="J80" s="90"/>
      <c r="K80" s="90"/>
      <c r="L80" s="90"/>
      <c r="M80" s="90"/>
      <c r="N80" s="90"/>
      <c r="O80" s="90"/>
      <c r="P80" s="90"/>
      <c r="Q80" s="90"/>
      <c r="R80" s="90"/>
      <c r="S80" s="90"/>
      <c r="T80" s="90"/>
      <c r="U80" s="89"/>
      <c r="V80" s="148" t="s">
        <v>962</v>
      </c>
      <c r="X80" s="1483"/>
      <c r="Y80" s="1483"/>
      <c r="Z80" s="1483"/>
      <c r="AA80" s="1483"/>
      <c r="AB80" s="1483"/>
      <c r="AD80" s="134" t="s">
        <v>854</v>
      </c>
      <c r="AE80" s="1486"/>
      <c r="AF80" s="1487"/>
      <c r="AG80" s="1487"/>
      <c r="AH80" s="1487"/>
      <c r="AI80" s="1487"/>
      <c r="AJ80" s="1487"/>
      <c r="AK80" s="1487"/>
      <c r="AL80" s="1462"/>
    </row>
    <row r="81" spans="2:38" ht="12.9" customHeight="1" x14ac:dyDescent="0.25">
      <c r="B81" s="1522"/>
      <c r="C81" s="1453"/>
      <c r="D81" s="1453"/>
      <c r="E81" s="1453"/>
      <c r="F81" s="148" t="s">
        <v>800</v>
      </c>
      <c r="G81" s="140" t="s">
        <v>963</v>
      </c>
      <c r="H81" s="90"/>
      <c r="I81" s="90"/>
      <c r="J81" s="90"/>
      <c r="K81" s="90"/>
      <c r="L81" s="90"/>
      <c r="M81" s="90"/>
      <c r="N81" s="90"/>
      <c r="O81" s="90"/>
      <c r="P81" s="90"/>
      <c r="Q81" s="90"/>
      <c r="R81" s="90"/>
      <c r="S81" s="90"/>
      <c r="T81" s="90"/>
      <c r="U81" s="89"/>
      <c r="V81" s="143" t="s">
        <v>964</v>
      </c>
      <c r="W81" s="90"/>
      <c r="X81" s="1390"/>
      <c r="Y81" s="1390"/>
      <c r="Z81" s="1390"/>
      <c r="AA81" s="1390"/>
      <c r="AB81" s="1390"/>
      <c r="AC81" s="90"/>
      <c r="AD81" s="127" t="s">
        <v>854</v>
      </c>
      <c r="AE81" s="1486"/>
      <c r="AF81" s="1487"/>
      <c r="AG81" s="1487"/>
      <c r="AH81" s="1487"/>
      <c r="AI81" s="1487"/>
      <c r="AJ81" s="1487"/>
      <c r="AK81" s="1487"/>
      <c r="AL81" s="1462"/>
    </row>
    <row r="82" spans="2:38" ht="12.9" customHeight="1" x14ac:dyDescent="0.25">
      <c r="B82" s="1522"/>
      <c r="C82" s="1453"/>
      <c r="D82" s="1453"/>
      <c r="E82" s="1453"/>
      <c r="F82" s="148" t="s">
        <v>801</v>
      </c>
      <c r="G82" s="272" t="s">
        <v>965</v>
      </c>
      <c r="H82" s="90"/>
      <c r="I82" s="90"/>
      <c r="J82" s="90"/>
      <c r="K82" s="90"/>
      <c r="L82" s="90"/>
      <c r="M82" s="90"/>
      <c r="N82" s="90"/>
      <c r="O82" s="90"/>
      <c r="P82" s="90"/>
      <c r="Q82" s="90"/>
      <c r="R82" s="90"/>
      <c r="S82" s="90"/>
      <c r="T82" s="90"/>
      <c r="U82" s="90"/>
      <c r="V82" s="148" t="s">
        <v>966</v>
      </c>
      <c r="W82" s="90"/>
      <c r="X82" s="1533"/>
      <c r="Y82" s="1533"/>
      <c r="Z82" s="1533"/>
      <c r="AA82" s="1533"/>
      <c r="AB82" s="1533"/>
      <c r="AC82" s="90"/>
      <c r="AD82" s="127" t="s">
        <v>854</v>
      </c>
      <c r="AE82" s="1488"/>
      <c r="AF82" s="1489"/>
      <c r="AG82" s="1489"/>
      <c r="AH82" s="1489"/>
      <c r="AI82" s="1489"/>
      <c r="AJ82" s="1489"/>
      <c r="AK82" s="1489"/>
      <c r="AL82" s="1463"/>
    </row>
    <row r="83" spans="2:38" ht="12.9" customHeight="1" x14ac:dyDescent="0.25">
      <c r="B83" s="1522"/>
      <c r="C83" s="1453"/>
      <c r="D83" s="1453"/>
      <c r="E83" s="1454"/>
      <c r="F83" s="148" t="s">
        <v>967</v>
      </c>
      <c r="G83" s="140" t="s">
        <v>968</v>
      </c>
      <c r="H83" s="90"/>
      <c r="I83" s="90"/>
      <c r="J83" s="90"/>
      <c r="K83" s="90"/>
      <c r="L83" s="90"/>
      <c r="M83" s="90"/>
      <c r="N83" s="90"/>
      <c r="O83" s="90"/>
      <c r="P83" s="90"/>
      <c r="Q83" s="90"/>
      <c r="R83" s="90"/>
      <c r="S83" s="1437"/>
      <c r="T83" s="1437"/>
      <c r="U83" s="1437"/>
      <c r="V83" s="1437"/>
      <c r="W83" s="1437"/>
      <c r="X83" s="1437"/>
      <c r="Y83" s="1437"/>
      <c r="Z83" s="1437"/>
      <c r="AA83" s="1437"/>
      <c r="AB83" s="90"/>
      <c r="AC83" s="90"/>
      <c r="AD83" s="90"/>
      <c r="AE83" s="148" t="s">
        <v>969</v>
      </c>
      <c r="AF83" s="91"/>
      <c r="AG83" s="1496">
        <f>X82</f>
        <v>0</v>
      </c>
      <c r="AH83" s="1496"/>
      <c r="AI83" s="1496"/>
      <c r="AJ83" s="1496"/>
      <c r="AK83" s="1496"/>
      <c r="AL83" s="126" t="s">
        <v>854</v>
      </c>
    </row>
    <row r="84" spans="2:38" ht="12.9" customHeight="1" x14ac:dyDescent="0.25">
      <c r="B84" s="1522"/>
      <c r="C84" s="1453"/>
      <c r="D84" s="1453"/>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434"/>
      <c r="AH84" s="1434"/>
      <c r="AI84" s="1434"/>
      <c r="AJ84" s="1434"/>
      <c r="AK84" s="1434"/>
      <c r="AL84" s="126" t="s">
        <v>854</v>
      </c>
    </row>
    <row r="85" spans="2:38" ht="12.9" customHeight="1" x14ac:dyDescent="0.2">
      <c r="B85" s="1522"/>
      <c r="C85" s="1453"/>
      <c r="D85" s="1453"/>
      <c r="E85" s="148" t="s">
        <v>765</v>
      </c>
      <c r="F85" s="138" t="s">
        <v>972</v>
      </c>
      <c r="G85" s="150"/>
      <c r="H85" s="90"/>
      <c r="I85" s="90"/>
      <c r="J85" s="90"/>
      <c r="K85" s="90"/>
      <c r="L85" s="90"/>
      <c r="M85" s="90"/>
      <c r="N85" s="90"/>
      <c r="O85" s="90"/>
      <c r="P85" s="90"/>
      <c r="Q85" s="90"/>
      <c r="R85" s="90"/>
      <c r="S85" s="90"/>
      <c r="T85" s="90"/>
      <c r="U85" s="90"/>
      <c r="V85" s="139"/>
      <c r="AE85" s="1484"/>
      <c r="AF85" s="1485"/>
      <c r="AG85" s="1485"/>
      <c r="AH85" s="1485"/>
      <c r="AI85" s="1485"/>
      <c r="AJ85" s="1485"/>
      <c r="AK85" s="1485"/>
      <c r="AL85" s="1461"/>
    </row>
    <row r="86" spans="2:38" ht="12.9" customHeight="1" x14ac:dyDescent="0.25">
      <c r="B86" s="1522"/>
      <c r="C86" s="1453"/>
      <c r="D86" s="1453"/>
      <c r="E86" s="1452"/>
      <c r="F86" s="262" t="s">
        <v>791</v>
      </c>
      <c r="G86" s="273" t="s">
        <v>410</v>
      </c>
      <c r="H86" s="90"/>
      <c r="I86" s="90"/>
      <c r="J86" s="90"/>
      <c r="K86" s="90"/>
      <c r="L86" s="90"/>
      <c r="M86" s="90"/>
      <c r="N86" s="90"/>
      <c r="O86" s="90"/>
      <c r="P86" s="90"/>
      <c r="Q86" s="90"/>
      <c r="R86" s="90"/>
      <c r="S86" s="90"/>
      <c r="T86" s="90"/>
      <c r="U86" s="90"/>
      <c r="V86" s="148" t="s">
        <v>973</v>
      </c>
      <c r="W86" s="90"/>
      <c r="X86" s="1434"/>
      <c r="Y86" s="1434"/>
      <c r="Z86" s="1434"/>
      <c r="AA86" s="1434"/>
      <c r="AB86" s="1434"/>
      <c r="AC86" s="90"/>
      <c r="AD86" s="127" t="s">
        <v>854</v>
      </c>
      <c r="AE86" s="1486"/>
      <c r="AF86" s="1487"/>
      <c r="AG86" s="1487"/>
      <c r="AH86" s="1487"/>
      <c r="AI86" s="1487"/>
      <c r="AJ86" s="1487"/>
      <c r="AK86" s="1487"/>
      <c r="AL86" s="1462"/>
    </row>
    <row r="87" spans="2:38" ht="12.9" customHeight="1" x14ac:dyDescent="0.25">
      <c r="B87" s="1522"/>
      <c r="C87" s="1453"/>
      <c r="D87" s="1453"/>
      <c r="E87" s="1453"/>
      <c r="F87" s="172" t="s">
        <v>797</v>
      </c>
      <c r="G87" s="274" t="s">
        <v>411</v>
      </c>
      <c r="V87" s="187" t="s">
        <v>974</v>
      </c>
      <c r="W87" s="82"/>
      <c r="X87" s="1524"/>
      <c r="Y87" s="1524"/>
      <c r="Z87" s="1524"/>
      <c r="AA87" s="1524"/>
      <c r="AB87" s="1524"/>
      <c r="AC87" s="82"/>
      <c r="AD87" s="201" t="s">
        <v>854</v>
      </c>
      <c r="AE87" s="1488"/>
      <c r="AF87" s="1489"/>
      <c r="AG87" s="1489"/>
      <c r="AH87" s="1489"/>
      <c r="AI87" s="1489"/>
      <c r="AJ87" s="1489"/>
      <c r="AK87" s="1489"/>
      <c r="AL87" s="1463"/>
    </row>
    <row r="88" spans="2:38" ht="12.9" customHeight="1" x14ac:dyDescent="0.25">
      <c r="B88" s="1522"/>
      <c r="C88" s="1453"/>
      <c r="D88" s="1453"/>
      <c r="E88" s="1454"/>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496">
        <v>0</v>
      </c>
      <c r="AH88" s="1496"/>
      <c r="AI88" s="1496"/>
      <c r="AJ88" s="1496"/>
      <c r="AK88" s="1496"/>
      <c r="AL88" s="126" t="s">
        <v>854</v>
      </c>
    </row>
    <row r="89" spans="2:38" ht="12.9" customHeight="1" x14ac:dyDescent="0.25">
      <c r="B89" s="1522"/>
      <c r="C89" s="1453"/>
      <c r="D89" s="1453"/>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391"/>
      <c r="AH89" s="1391"/>
      <c r="AI89" s="1391"/>
      <c r="AJ89" s="1391"/>
      <c r="AK89" s="1391"/>
      <c r="AL89" s="126" t="s">
        <v>854</v>
      </c>
    </row>
    <row r="90" spans="2:38" ht="12.9" customHeight="1" x14ac:dyDescent="0.25">
      <c r="B90" s="1522"/>
      <c r="C90" s="1453"/>
      <c r="D90" s="1454"/>
      <c r="E90" s="143" t="s">
        <v>802</v>
      </c>
      <c r="F90" s="202" t="s">
        <v>0</v>
      </c>
      <c r="V90" s="137"/>
      <c r="AE90" s="153" t="s">
        <v>1</v>
      </c>
      <c r="AG90" s="1496">
        <f>AG83+AG84+AG88</f>
        <v>0</v>
      </c>
      <c r="AH90" s="1496"/>
      <c r="AI90" s="1496"/>
      <c r="AJ90" s="1496"/>
      <c r="AK90" s="1496"/>
      <c r="AL90" s="126" t="s">
        <v>854</v>
      </c>
    </row>
    <row r="91" spans="2:38" ht="12.9" customHeight="1" x14ac:dyDescent="0.2">
      <c r="B91" s="1522"/>
      <c r="C91" s="1453"/>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484"/>
      <c r="AF91" s="1485"/>
      <c r="AG91" s="1485"/>
      <c r="AH91" s="1485"/>
      <c r="AI91" s="1485"/>
      <c r="AJ91" s="1485"/>
      <c r="AK91" s="1485"/>
      <c r="AL91" s="1461"/>
    </row>
    <row r="92" spans="2:38" ht="12.9" customHeight="1" x14ac:dyDescent="0.25">
      <c r="B92" s="1522"/>
      <c r="C92" s="1453"/>
      <c r="D92" s="1452"/>
      <c r="E92" s="185" t="s">
        <v>749</v>
      </c>
      <c r="F92" s="263" t="s">
        <v>3</v>
      </c>
      <c r="V92" s="185" t="s">
        <v>792</v>
      </c>
      <c r="W92" s="80"/>
      <c r="X92" s="1393"/>
      <c r="Y92" s="1393"/>
      <c r="Z92" s="1393"/>
      <c r="AA92" s="1393"/>
      <c r="AB92" s="1393"/>
      <c r="AC92" s="80"/>
      <c r="AD92" s="126" t="s">
        <v>854</v>
      </c>
      <c r="AE92" s="1486"/>
      <c r="AF92" s="1487"/>
      <c r="AG92" s="1487"/>
      <c r="AH92" s="1487"/>
      <c r="AI92" s="1487"/>
      <c r="AJ92" s="1487"/>
      <c r="AK92" s="1487"/>
      <c r="AL92" s="1462"/>
    </row>
    <row r="93" spans="2:38" ht="12.9" customHeight="1" x14ac:dyDescent="0.25">
      <c r="B93" s="1522"/>
      <c r="C93" s="1453"/>
      <c r="D93" s="1453"/>
      <c r="E93" s="148" t="s">
        <v>764</v>
      </c>
      <c r="F93" s="138" t="s">
        <v>4</v>
      </c>
      <c r="G93" s="90"/>
      <c r="H93" s="90"/>
      <c r="I93" s="90"/>
      <c r="J93" s="90"/>
      <c r="K93" s="90"/>
      <c r="L93" s="90"/>
      <c r="M93" s="90"/>
      <c r="N93" s="90"/>
      <c r="O93" s="90"/>
      <c r="P93" s="90"/>
      <c r="Q93" s="90"/>
      <c r="R93" s="90"/>
      <c r="S93" s="90"/>
      <c r="T93" s="90"/>
      <c r="U93" s="89"/>
      <c r="V93" s="148" t="s">
        <v>793</v>
      </c>
      <c r="W93" s="90"/>
      <c r="X93" s="1497"/>
      <c r="Y93" s="1497"/>
      <c r="Z93" s="1497"/>
      <c r="AA93" s="1497"/>
      <c r="AB93" s="1497"/>
      <c r="AC93" s="90"/>
      <c r="AD93" s="127" t="s">
        <v>854</v>
      </c>
      <c r="AE93" s="1486"/>
      <c r="AF93" s="1487"/>
      <c r="AG93" s="1487"/>
      <c r="AH93" s="1487"/>
      <c r="AI93" s="1487"/>
      <c r="AJ93" s="1487"/>
      <c r="AK93" s="1487"/>
      <c r="AL93" s="1462"/>
    </row>
    <row r="94" spans="2:38" ht="12.9" customHeight="1" x14ac:dyDescent="0.25">
      <c r="B94" s="1522"/>
      <c r="C94" s="1453"/>
      <c r="D94" s="1453"/>
      <c r="E94" s="148" t="s">
        <v>765</v>
      </c>
      <c r="F94" s="202" t="s">
        <v>5</v>
      </c>
      <c r="V94" s="143" t="s">
        <v>798</v>
      </c>
      <c r="W94" s="82"/>
      <c r="X94" s="1466"/>
      <c r="Y94" s="1466"/>
      <c r="Z94" s="1466"/>
      <c r="AA94" s="1466"/>
      <c r="AB94" s="1466"/>
      <c r="AC94" s="82"/>
      <c r="AD94" s="201" t="s">
        <v>854</v>
      </c>
      <c r="AE94" s="1488"/>
      <c r="AF94" s="1489"/>
      <c r="AG94" s="1489"/>
      <c r="AH94" s="1489"/>
      <c r="AI94" s="1489"/>
      <c r="AJ94" s="1489"/>
      <c r="AK94" s="1489"/>
      <c r="AL94" s="1463"/>
    </row>
    <row r="95" spans="2:38" ht="12.9" customHeight="1" x14ac:dyDescent="0.25">
      <c r="B95" s="1522"/>
      <c r="C95" s="1453"/>
      <c r="D95" s="1454"/>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497"/>
      <c r="AH95" s="1497"/>
      <c r="AI95" s="1497"/>
      <c r="AJ95" s="1497"/>
      <c r="AK95" s="1497"/>
      <c r="AL95" s="126" t="s">
        <v>854</v>
      </c>
    </row>
    <row r="96" spans="2:38" ht="12.9" customHeight="1" x14ac:dyDescent="0.25">
      <c r="B96" s="1522"/>
      <c r="C96" s="1453"/>
      <c r="D96" s="148" t="s">
        <v>617</v>
      </c>
      <c r="E96" s="154" t="s">
        <v>544</v>
      </c>
      <c r="F96" s="136"/>
      <c r="V96" s="137"/>
      <c r="AE96" s="143" t="s">
        <v>773</v>
      </c>
      <c r="AF96" s="120"/>
      <c r="AG96" s="1496">
        <f>+AG95</f>
        <v>0</v>
      </c>
      <c r="AH96" s="1496"/>
      <c r="AI96" s="1496"/>
      <c r="AJ96" s="1496"/>
      <c r="AK96" s="1496"/>
      <c r="AL96" s="126" t="s">
        <v>854</v>
      </c>
    </row>
    <row r="97" spans="2:38" ht="12.9" customHeight="1" x14ac:dyDescent="0.2">
      <c r="B97" s="1522"/>
      <c r="C97" s="1453"/>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484"/>
      <c r="AF97" s="1485"/>
      <c r="AG97" s="1485"/>
      <c r="AH97" s="1485"/>
      <c r="AI97" s="1485"/>
      <c r="AJ97" s="1485"/>
      <c r="AK97" s="1485"/>
      <c r="AL97" s="1461"/>
    </row>
    <row r="98" spans="2:38" ht="12.9" customHeight="1" x14ac:dyDescent="0.2">
      <c r="B98" s="1522"/>
      <c r="C98" s="1453"/>
      <c r="D98" s="1452"/>
      <c r="E98" s="145" t="s">
        <v>749</v>
      </c>
      <c r="F98" s="202" t="s">
        <v>8</v>
      </c>
      <c r="V98" s="204"/>
      <c r="AE98" s="1488"/>
      <c r="AF98" s="1489"/>
      <c r="AG98" s="1489"/>
      <c r="AH98" s="1489"/>
      <c r="AI98" s="1489"/>
      <c r="AJ98" s="1489"/>
      <c r="AK98" s="1489"/>
      <c r="AL98" s="1463"/>
    </row>
    <row r="99" spans="2:38" ht="12.9" customHeight="1" x14ac:dyDescent="0.25">
      <c r="B99" s="1522"/>
      <c r="C99" s="1453"/>
      <c r="D99" s="1453"/>
      <c r="E99" s="1452"/>
      <c r="F99" s="148" t="s">
        <v>791</v>
      </c>
      <c r="G99" s="272" t="s">
        <v>9</v>
      </c>
      <c r="H99" s="90"/>
      <c r="I99" s="90"/>
      <c r="J99" s="90"/>
      <c r="K99" s="90"/>
      <c r="L99" s="90"/>
      <c r="M99" s="90"/>
      <c r="N99" s="90"/>
      <c r="O99" s="90"/>
      <c r="P99" s="90"/>
      <c r="Q99" s="90"/>
      <c r="R99" s="90"/>
      <c r="S99" s="90"/>
      <c r="T99" s="90"/>
      <c r="U99" s="89"/>
      <c r="V99" s="148" t="s">
        <v>960</v>
      </c>
      <c r="W99" s="90"/>
      <c r="X99" s="1434"/>
      <c r="Y99" s="1434"/>
      <c r="Z99" s="1434"/>
      <c r="AA99" s="1434"/>
      <c r="AB99" s="1434"/>
      <c r="AC99" s="90"/>
      <c r="AD99" s="127" t="s">
        <v>854</v>
      </c>
      <c r="AE99" s="1484"/>
      <c r="AF99" s="1485"/>
      <c r="AG99" s="1485"/>
      <c r="AH99" s="1485"/>
      <c r="AI99" s="1485"/>
      <c r="AJ99" s="1485"/>
      <c r="AK99" s="1485"/>
      <c r="AL99" s="1461"/>
    </row>
    <row r="100" spans="2:38" ht="12.9" customHeight="1" x14ac:dyDescent="0.25">
      <c r="B100" s="1522"/>
      <c r="C100" s="1453"/>
      <c r="D100" s="1453"/>
      <c r="E100" s="1453"/>
      <c r="F100" s="145" t="s">
        <v>797</v>
      </c>
      <c r="G100" s="152" t="s">
        <v>10</v>
      </c>
      <c r="V100" s="148" t="s">
        <v>962</v>
      </c>
      <c r="W100" s="90"/>
      <c r="X100" s="1391"/>
      <c r="Y100" s="1391"/>
      <c r="Z100" s="1391"/>
      <c r="AA100" s="1391"/>
      <c r="AB100" s="1391"/>
      <c r="AC100" s="90"/>
      <c r="AD100" s="127" t="s">
        <v>854</v>
      </c>
      <c r="AE100" s="1486"/>
      <c r="AF100" s="1487"/>
      <c r="AG100" s="1487"/>
      <c r="AH100" s="1487"/>
      <c r="AI100" s="1487"/>
      <c r="AJ100" s="1487"/>
      <c r="AK100" s="1487"/>
      <c r="AL100" s="1462"/>
    </row>
    <row r="101" spans="2:38" ht="12.9" customHeight="1" x14ac:dyDescent="0.25">
      <c r="B101" s="1522"/>
      <c r="C101" s="1453"/>
      <c r="D101" s="1453"/>
      <c r="E101" s="1453"/>
      <c r="F101" s="148" t="s">
        <v>800</v>
      </c>
      <c r="G101" s="140" t="s">
        <v>11</v>
      </c>
      <c r="H101" s="90"/>
      <c r="I101" s="90"/>
      <c r="J101" s="90"/>
      <c r="K101" s="90"/>
      <c r="L101" s="90"/>
      <c r="M101" s="90"/>
      <c r="N101" s="90"/>
      <c r="O101" s="90"/>
      <c r="P101" s="90"/>
      <c r="Q101" s="90"/>
      <c r="R101" s="90"/>
      <c r="S101" s="90"/>
      <c r="T101" s="90"/>
      <c r="U101" s="89"/>
      <c r="V101" s="148" t="s">
        <v>964</v>
      </c>
      <c r="W101" s="90"/>
      <c r="X101" s="1391"/>
      <c r="Y101" s="1391"/>
      <c r="Z101" s="1391"/>
      <c r="AA101" s="1391"/>
      <c r="AB101" s="1391"/>
      <c r="AC101" s="90"/>
      <c r="AD101" s="127" t="s">
        <v>854</v>
      </c>
      <c r="AE101" s="1486"/>
      <c r="AF101" s="1487"/>
      <c r="AG101" s="1487"/>
      <c r="AH101" s="1487"/>
      <c r="AI101" s="1487"/>
      <c r="AJ101" s="1487"/>
      <c r="AK101" s="1487"/>
      <c r="AL101" s="1462"/>
    </row>
    <row r="102" spans="2:38" ht="12.9" customHeight="1" x14ac:dyDescent="0.25">
      <c r="B102" s="1522"/>
      <c r="C102" s="1453"/>
      <c r="D102" s="1453"/>
      <c r="E102" s="1453"/>
      <c r="F102" s="148" t="s">
        <v>801</v>
      </c>
      <c r="G102" s="140" t="s">
        <v>12</v>
      </c>
      <c r="H102" s="90"/>
      <c r="I102" s="90"/>
      <c r="J102" s="90"/>
      <c r="K102" s="90"/>
      <c r="L102" s="90"/>
      <c r="M102" s="90"/>
      <c r="N102" s="90"/>
      <c r="O102" s="90"/>
      <c r="P102" s="90"/>
      <c r="Q102" s="90"/>
      <c r="R102" s="90"/>
      <c r="S102" s="90"/>
      <c r="T102" s="90"/>
      <c r="U102" s="89"/>
      <c r="V102" s="148" t="s">
        <v>966</v>
      </c>
      <c r="W102" s="90"/>
      <c r="X102" s="1391"/>
      <c r="Y102" s="1391"/>
      <c r="Z102" s="1391"/>
      <c r="AA102" s="1391"/>
      <c r="AB102" s="1391"/>
      <c r="AC102" s="90"/>
      <c r="AD102" s="127" t="s">
        <v>854</v>
      </c>
      <c r="AE102" s="1488"/>
      <c r="AF102" s="1489"/>
      <c r="AG102" s="1489"/>
      <c r="AH102" s="1489"/>
      <c r="AI102" s="1489"/>
      <c r="AJ102" s="1489"/>
      <c r="AK102" s="1489"/>
      <c r="AL102" s="1463"/>
    </row>
    <row r="103" spans="2:38" ht="12.9" customHeight="1" x14ac:dyDescent="0.25">
      <c r="B103" s="1522"/>
      <c r="C103" s="1453"/>
      <c r="D103" s="1453"/>
      <c r="E103" s="1453"/>
      <c r="F103" s="143" t="s">
        <v>967</v>
      </c>
      <c r="G103" s="202" t="s">
        <v>968</v>
      </c>
      <c r="V103" s="203"/>
      <c r="AE103" s="148" t="s">
        <v>969</v>
      </c>
      <c r="AF103" s="91"/>
      <c r="AG103" s="1496">
        <f>+X99</f>
        <v>0</v>
      </c>
      <c r="AH103" s="1496"/>
      <c r="AI103" s="1496"/>
      <c r="AJ103" s="1496"/>
      <c r="AK103" s="1496"/>
      <c r="AL103" s="126" t="s">
        <v>854</v>
      </c>
    </row>
    <row r="104" spans="2:38" ht="12.9" customHeight="1" x14ac:dyDescent="0.2">
      <c r="B104" s="1522"/>
      <c r="C104" s="1453"/>
      <c r="D104" s="1453"/>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 customHeight="1" x14ac:dyDescent="0.25">
      <c r="B105" s="1522"/>
      <c r="C105" s="1453"/>
      <c r="D105" s="1453"/>
      <c r="E105" s="1453"/>
      <c r="F105" s="145" t="s">
        <v>791</v>
      </c>
      <c r="G105" s="152" t="s">
        <v>14</v>
      </c>
      <c r="V105" s="145" t="s">
        <v>925</v>
      </c>
      <c r="W105" s="80"/>
      <c r="X105" s="1393"/>
      <c r="Y105" s="1393"/>
      <c r="Z105" s="1393"/>
      <c r="AA105" s="1393"/>
      <c r="AB105" s="1393"/>
      <c r="AC105" s="80"/>
      <c r="AD105" s="126" t="s">
        <v>854</v>
      </c>
      <c r="AE105" s="169"/>
      <c r="AL105" s="84"/>
    </row>
    <row r="106" spans="2:38" ht="12.9" customHeight="1" x14ac:dyDescent="0.25">
      <c r="B106" s="1522"/>
      <c r="C106" s="1453"/>
      <c r="D106" s="1453"/>
      <c r="E106" s="1453"/>
      <c r="F106" s="148" t="s">
        <v>797</v>
      </c>
      <c r="G106" s="140" t="s">
        <v>15</v>
      </c>
      <c r="H106" s="90"/>
      <c r="I106" s="90"/>
      <c r="J106" s="90"/>
      <c r="K106" s="90"/>
      <c r="L106" s="90"/>
      <c r="M106" s="90"/>
      <c r="N106" s="90"/>
      <c r="O106" s="90"/>
      <c r="P106" s="90"/>
      <c r="Q106" s="90"/>
      <c r="R106" s="90"/>
      <c r="S106" s="90"/>
      <c r="T106" s="90"/>
      <c r="U106" s="89"/>
      <c r="V106" s="148" t="s">
        <v>927</v>
      </c>
      <c r="W106" s="90"/>
      <c r="X106" s="1391"/>
      <c r="Y106" s="1391"/>
      <c r="Z106" s="1391"/>
      <c r="AA106" s="1391"/>
      <c r="AB106" s="1391"/>
      <c r="AC106" s="90"/>
      <c r="AD106" s="127" t="s">
        <v>854</v>
      </c>
      <c r="AE106" s="169"/>
      <c r="AL106" s="84"/>
    </row>
    <row r="107" spans="2:38" ht="12.9" customHeight="1" x14ac:dyDescent="0.25">
      <c r="B107" s="1522"/>
      <c r="C107" s="1453"/>
      <c r="D107" s="1453"/>
      <c r="E107" s="1453"/>
      <c r="F107" s="157" t="s">
        <v>800</v>
      </c>
      <c r="G107" s="155" t="s">
        <v>16</v>
      </c>
      <c r="H107" s="90"/>
      <c r="I107" s="90"/>
      <c r="J107" s="90"/>
      <c r="K107" s="90"/>
      <c r="L107" s="90"/>
      <c r="M107" s="90"/>
      <c r="N107" s="90"/>
      <c r="O107" s="90"/>
      <c r="P107" s="90"/>
      <c r="Q107" s="90"/>
      <c r="R107" s="90"/>
      <c r="S107" s="90"/>
      <c r="T107" s="90"/>
      <c r="U107" s="89"/>
      <c r="V107" s="157" t="s">
        <v>929</v>
      </c>
      <c r="W107" s="90"/>
      <c r="X107" s="1391"/>
      <c r="Y107" s="1391"/>
      <c r="Z107" s="1391"/>
      <c r="AA107" s="1391"/>
      <c r="AB107" s="1391"/>
      <c r="AC107" s="90"/>
      <c r="AD107" s="127" t="s">
        <v>854</v>
      </c>
      <c r="AE107" s="169"/>
      <c r="AL107" s="84"/>
    </row>
    <row r="108" spans="2:38" ht="12.9" customHeight="1" x14ac:dyDescent="0.25">
      <c r="B108" s="1522"/>
      <c r="C108" s="1453"/>
      <c r="D108" s="1453"/>
      <c r="E108" s="1453"/>
      <c r="F108" s="148" t="s">
        <v>801</v>
      </c>
      <c r="G108" s="152" t="s">
        <v>17</v>
      </c>
      <c r="V108" s="143" t="s">
        <v>18</v>
      </c>
      <c r="X108" s="1391"/>
      <c r="Y108" s="1391"/>
      <c r="Z108" s="1391"/>
      <c r="AA108" s="1391"/>
      <c r="AB108" s="1391"/>
      <c r="AD108" s="127" t="s">
        <v>854</v>
      </c>
      <c r="AE108" s="170"/>
      <c r="AL108" s="84"/>
    </row>
    <row r="109" spans="2:38" ht="12.9" customHeight="1" x14ac:dyDescent="0.25">
      <c r="B109" s="1522"/>
      <c r="C109" s="1453"/>
      <c r="D109" s="1453"/>
      <c r="E109" s="1453"/>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391">
        <v>0</v>
      </c>
      <c r="AH109" s="1391"/>
      <c r="AI109" s="1391"/>
      <c r="AJ109" s="1391"/>
      <c r="AK109" s="1391"/>
      <c r="AL109" s="127" t="s">
        <v>854</v>
      </c>
    </row>
    <row r="110" spans="2:38" ht="12.9" customHeight="1" x14ac:dyDescent="0.25">
      <c r="B110" s="1522"/>
      <c r="C110" s="1453"/>
      <c r="D110" s="1454"/>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496">
        <f>+AG103</f>
        <v>0</v>
      </c>
      <c r="AH110" s="1496"/>
      <c r="AI110" s="1496"/>
      <c r="AJ110" s="1496"/>
      <c r="AK110" s="1496"/>
      <c r="AL110" s="126" t="s">
        <v>854</v>
      </c>
    </row>
    <row r="111" spans="2:38" ht="12.9" customHeight="1" x14ac:dyDescent="0.25">
      <c r="B111" s="1522"/>
      <c r="C111" s="1454"/>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391"/>
      <c r="AH111" s="1391"/>
      <c r="AI111" s="1391"/>
      <c r="AJ111" s="1391"/>
      <c r="AK111" s="1391"/>
      <c r="AL111" s="126" t="s">
        <v>854</v>
      </c>
    </row>
    <row r="112" spans="2:38" ht="12.9" customHeight="1" x14ac:dyDescent="0.25">
      <c r="B112" s="1522"/>
      <c r="C112" s="148">
        <v>4</v>
      </c>
      <c r="D112" s="148" t="s">
        <v>613</v>
      </c>
      <c r="E112" s="202" t="s">
        <v>24</v>
      </c>
      <c r="F112" s="136"/>
      <c r="V112" s="153" t="s">
        <v>780</v>
      </c>
      <c r="W112" s="83"/>
      <c r="X112" s="1393"/>
      <c r="Y112" s="1391"/>
      <c r="Z112" s="1391"/>
      <c r="AA112" s="1391"/>
      <c r="AB112" s="1391"/>
      <c r="AC112" s="90"/>
      <c r="AD112" s="127" t="s">
        <v>854</v>
      </c>
      <c r="AE112" s="168"/>
      <c r="AL112" s="84"/>
    </row>
    <row r="113" spans="2:38" ht="12.9" customHeight="1" x14ac:dyDescent="0.25">
      <c r="B113" s="1522"/>
      <c r="C113" s="1452"/>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391"/>
      <c r="Y113" s="1391"/>
      <c r="Z113" s="1391"/>
      <c r="AA113" s="1391"/>
      <c r="AB113" s="1391"/>
      <c r="AC113" s="90"/>
      <c r="AD113" s="127" t="s">
        <v>854</v>
      </c>
      <c r="AE113" s="169"/>
      <c r="AL113" s="84"/>
    </row>
    <row r="114" spans="2:38" ht="12.9" customHeight="1" x14ac:dyDescent="0.25">
      <c r="B114" s="1522"/>
      <c r="C114" s="1453"/>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391"/>
      <c r="Y114" s="1391"/>
      <c r="Z114" s="1391"/>
      <c r="AA114" s="1391"/>
      <c r="AB114" s="1391"/>
      <c r="AC114" s="90"/>
      <c r="AD114" s="127" t="s">
        <v>854</v>
      </c>
      <c r="AE114" s="170"/>
      <c r="AL114" s="84"/>
    </row>
    <row r="115" spans="2:38" ht="12.9" customHeight="1" x14ac:dyDescent="0.25">
      <c r="B115" s="1522"/>
      <c r="C115" s="1454"/>
      <c r="D115" s="143" t="s">
        <v>619</v>
      </c>
      <c r="E115" s="202" t="s">
        <v>27</v>
      </c>
      <c r="F115" s="136"/>
      <c r="V115" s="137"/>
      <c r="AE115" s="143" t="s">
        <v>28</v>
      </c>
      <c r="AF115" s="120"/>
      <c r="AG115" s="1391">
        <v>0</v>
      </c>
      <c r="AH115" s="1391"/>
      <c r="AI115" s="1391"/>
      <c r="AJ115" s="1391"/>
      <c r="AK115" s="1391"/>
      <c r="AL115" s="127" t="s">
        <v>854</v>
      </c>
    </row>
    <row r="116" spans="2:38" ht="12.9" customHeight="1" x14ac:dyDescent="0.25">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496">
        <f>AG115+AG111+AG73+AG62</f>
        <v>0</v>
      </c>
      <c r="AH116" s="1496"/>
      <c r="AI116" s="1496"/>
      <c r="AJ116" s="1496"/>
      <c r="AK116" s="1496"/>
      <c r="AL116" s="126" t="s">
        <v>854</v>
      </c>
    </row>
    <row r="117" spans="2:38" ht="15.9" customHeight="1" x14ac:dyDescent="0.25">
      <c r="B117" s="1518"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506"/>
      <c r="AF117" s="1507"/>
      <c r="AG117" s="1507"/>
      <c r="AH117" s="1507"/>
      <c r="AI117" s="1507"/>
      <c r="AJ117" s="1507"/>
      <c r="AK117" s="1507"/>
      <c r="AL117" s="1508"/>
    </row>
    <row r="118" spans="2:38" ht="15.9" customHeight="1" x14ac:dyDescent="0.2">
      <c r="B118" s="1519"/>
      <c r="C118" s="1453"/>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509"/>
      <c r="AF118" s="1509"/>
      <c r="AG118" s="1509"/>
      <c r="AH118" s="1509"/>
      <c r="AI118" s="1509"/>
      <c r="AJ118" s="1509"/>
      <c r="AK118" s="1509"/>
      <c r="AL118" s="1510"/>
    </row>
    <row r="119" spans="2:38" ht="15.9" customHeight="1" x14ac:dyDescent="0.25">
      <c r="B119" s="1519"/>
      <c r="C119" s="1453"/>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434"/>
      <c r="AH119" s="1434"/>
      <c r="AI119" s="1434"/>
      <c r="AJ119" s="1434"/>
      <c r="AK119" s="1434"/>
      <c r="AL119" s="127" t="s">
        <v>854</v>
      </c>
    </row>
    <row r="120" spans="2:38" ht="15.9" customHeight="1" x14ac:dyDescent="0.25">
      <c r="B120" s="1519"/>
      <c r="C120" s="1453"/>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434"/>
      <c r="AH120" s="1434"/>
      <c r="AI120" s="1434"/>
      <c r="AJ120" s="1434"/>
      <c r="AK120" s="1434"/>
      <c r="AL120" s="127" t="s">
        <v>854</v>
      </c>
    </row>
    <row r="121" spans="2:38" ht="15.9" customHeight="1" x14ac:dyDescent="0.25">
      <c r="B121" s="1519"/>
      <c r="C121" s="1453"/>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434"/>
      <c r="AH121" s="1434"/>
      <c r="AI121" s="1434"/>
      <c r="AJ121" s="1434"/>
      <c r="AK121" s="1434"/>
      <c r="AL121" s="127" t="s">
        <v>854</v>
      </c>
    </row>
    <row r="122" spans="2:38" ht="15.9" customHeight="1" x14ac:dyDescent="0.25">
      <c r="B122" s="1520"/>
      <c r="C122" s="1453"/>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434"/>
      <c r="AH122" s="1434"/>
      <c r="AI122" s="1434"/>
      <c r="AJ122" s="1434"/>
      <c r="AK122" s="1434"/>
      <c r="AL122" s="127" t="s">
        <v>854</v>
      </c>
    </row>
    <row r="123" spans="2:38" s="114" customFormat="1" ht="15" customHeight="1" x14ac:dyDescent="0.25">
      <c r="B123" s="1468" t="s">
        <v>284</v>
      </c>
      <c r="C123" s="1468"/>
      <c r="D123" s="1468"/>
      <c r="E123" s="1468"/>
      <c r="F123" s="1468"/>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x14ac:dyDescent="0.25">
      <c r="B124" s="1468"/>
      <c r="C124" s="1468"/>
      <c r="D124" s="1468"/>
      <c r="E124" s="1468"/>
      <c r="F124" s="1468"/>
      <c r="G124" s="219" t="s">
        <v>445</v>
      </c>
      <c r="AE124" s="121"/>
      <c r="AF124" s="121"/>
      <c r="AG124" s="121"/>
      <c r="AH124" s="121"/>
      <c r="AI124" s="121"/>
      <c r="AJ124" s="121"/>
      <c r="AK124" s="121"/>
      <c r="AL124" s="121"/>
    </row>
    <row r="125" spans="2:38" ht="12" customHeight="1" x14ac:dyDescent="0.2">
      <c r="B125" s="1399"/>
      <c r="C125" s="1529">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492">
        <v>1</v>
      </c>
      <c r="AG125" s="1466"/>
      <c r="AH125" s="1466"/>
      <c r="AI125" s="1466"/>
      <c r="AJ125" s="1466"/>
      <c r="AK125" s="1504"/>
      <c r="AL125" s="1490" t="s">
        <v>854</v>
      </c>
    </row>
    <row r="126" spans="2:38" ht="12" customHeight="1" x14ac:dyDescent="0.2">
      <c r="B126" s="1399"/>
      <c r="C126" s="1530"/>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493"/>
      <c r="AG126" s="1393"/>
      <c r="AH126" s="1393"/>
      <c r="AI126" s="1393"/>
      <c r="AJ126" s="1393"/>
      <c r="AK126" s="1505"/>
      <c r="AL126" s="1491"/>
    </row>
    <row r="127" spans="2:38" x14ac:dyDescent="0.2">
      <c r="B127" s="1399"/>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484"/>
      <c r="AF127" s="1485"/>
      <c r="AG127" s="1485"/>
      <c r="AH127" s="1485"/>
      <c r="AI127" s="1485"/>
      <c r="AJ127" s="1485"/>
      <c r="AK127" s="1485"/>
      <c r="AL127" s="1461"/>
    </row>
    <row r="128" spans="2:38" ht="14.1" customHeight="1" x14ac:dyDescent="0.25">
      <c r="B128" s="1399"/>
      <c r="C128" s="1452"/>
      <c r="D128" s="145" t="s">
        <v>613</v>
      </c>
      <c r="E128" s="152" t="s">
        <v>40</v>
      </c>
      <c r="V128" s="109" t="s">
        <v>787</v>
      </c>
      <c r="W128" s="85"/>
      <c r="X128" s="1393"/>
      <c r="Y128" s="1393"/>
      <c r="Z128" s="1393"/>
      <c r="AA128" s="1393"/>
      <c r="AB128" s="1393"/>
      <c r="AC128" s="80"/>
      <c r="AD128" s="126" t="s">
        <v>854</v>
      </c>
      <c r="AE128" s="1486"/>
      <c r="AF128" s="1487"/>
      <c r="AG128" s="1487"/>
      <c r="AH128" s="1487"/>
      <c r="AI128" s="1487"/>
      <c r="AJ128" s="1487"/>
      <c r="AK128" s="1487"/>
      <c r="AL128" s="1462"/>
    </row>
    <row r="129" spans="2:38" ht="14.1" customHeight="1" x14ac:dyDescent="0.25">
      <c r="B129" s="1399"/>
      <c r="C129" s="1453"/>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391"/>
      <c r="Y129" s="1391"/>
      <c r="Z129" s="1391"/>
      <c r="AA129" s="1391"/>
      <c r="AB129" s="1391"/>
      <c r="AC129" s="90"/>
      <c r="AD129" s="127" t="s">
        <v>854</v>
      </c>
      <c r="AE129" s="1486"/>
      <c r="AF129" s="1487"/>
      <c r="AG129" s="1487"/>
      <c r="AH129" s="1487"/>
      <c r="AI129" s="1487"/>
      <c r="AJ129" s="1487"/>
      <c r="AK129" s="1487"/>
      <c r="AL129" s="1462"/>
    </row>
    <row r="130" spans="2:38" ht="14.1" customHeight="1" x14ac:dyDescent="0.25">
      <c r="B130" s="1399"/>
      <c r="C130" s="1453"/>
      <c r="D130" s="148" t="s">
        <v>617</v>
      </c>
      <c r="E130" s="202" t="s">
        <v>42</v>
      </c>
      <c r="V130" s="107" t="s">
        <v>795</v>
      </c>
      <c r="W130" s="85"/>
      <c r="X130" s="1393"/>
      <c r="Y130" s="1391"/>
      <c r="Z130" s="1391"/>
      <c r="AA130" s="1391"/>
      <c r="AB130" s="1391"/>
      <c r="AC130" s="90"/>
      <c r="AD130" s="127" t="s">
        <v>854</v>
      </c>
      <c r="AE130" s="1486"/>
      <c r="AF130" s="1487"/>
      <c r="AG130" s="1487"/>
      <c r="AH130" s="1487"/>
      <c r="AI130" s="1487"/>
      <c r="AJ130" s="1487"/>
      <c r="AK130" s="1487"/>
      <c r="AL130" s="1462"/>
    </row>
    <row r="131" spans="2:38" ht="14.1" customHeight="1" x14ac:dyDescent="0.25">
      <c r="B131" s="1402"/>
      <c r="C131" s="1454"/>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391"/>
      <c r="Y131" s="1391"/>
      <c r="Z131" s="1391"/>
      <c r="AA131" s="1391"/>
      <c r="AB131" s="1391"/>
      <c r="AC131" s="90"/>
      <c r="AD131" s="127" t="s">
        <v>854</v>
      </c>
      <c r="AE131" s="1488"/>
      <c r="AF131" s="1489"/>
      <c r="AG131" s="1489"/>
      <c r="AH131" s="1489"/>
      <c r="AI131" s="1489"/>
      <c r="AJ131" s="1489"/>
      <c r="AK131" s="1489"/>
      <c r="AL131" s="1463"/>
    </row>
    <row r="132" spans="2:38" ht="16.5" customHeight="1" x14ac:dyDescent="0.2">
      <c r="B132" s="93"/>
      <c r="C132" s="137"/>
      <c r="D132" s="137"/>
      <c r="E132" s="136"/>
      <c r="AE132" s="125" t="s">
        <v>492</v>
      </c>
      <c r="AF132" s="1403" t="s">
        <v>907</v>
      </c>
      <c r="AG132" s="1403"/>
      <c r="AH132" s="1403"/>
      <c r="AI132" s="1403"/>
      <c r="AJ132" s="132" t="s">
        <v>842</v>
      </c>
      <c r="AK132" s="131"/>
      <c r="AL132" s="133">
        <v>9.06</v>
      </c>
    </row>
    <row r="133" spans="2:38" ht="12.75" customHeight="1" x14ac:dyDescent="0.25">
      <c r="B133" s="1540"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391">
        <v>0</v>
      </c>
      <c r="AH133" s="1391"/>
      <c r="AI133" s="1391"/>
      <c r="AJ133" s="1391"/>
      <c r="AK133" s="1391"/>
      <c r="AL133" s="127" t="s">
        <v>854</v>
      </c>
    </row>
    <row r="134" spans="2:38" ht="12" customHeight="1" x14ac:dyDescent="0.2">
      <c r="B134" s="1541"/>
      <c r="C134" s="145">
        <v>3</v>
      </c>
      <c r="D134" s="156" t="s">
        <v>45</v>
      </c>
      <c r="E134" s="136"/>
      <c r="AE134" s="1484"/>
      <c r="AF134" s="1485"/>
      <c r="AG134" s="1485"/>
      <c r="AH134" s="1485"/>
      <c r="AI134" s="1485"/>
      <c r="AJ134" s="1485"/>
      <c r="AK134" s="1485"/>
      <c r="AL134" s="1461"/>
    </row>
    <row r="135" spans="2:38" ht="14.1" customHeight="1" x14ac:dyDescent="0.25">
      <c r="B135" s="1541"/>
      <c r="C135" s="1452"/>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391"/>
      <c r="Y135" s="1391"/>
      <c r="Z135" s="1391"/>
      <c r="AA135" s="1391"/>
      <c r="AB135" s="1391"/>
      <c r="AC135" s="90"/>
      <c r="AD135" s="223" t="s">
        <v>854</v>
      </c>
      <c r="AE135" s="1486"/>
      <c r="AF135" s="1487"/>
      <c r="AG135" s="1487"/>
      <c r="AH135" s="1487"/>
      <c r="AI135" s="1487"/>
      <c r="AJ135" s="1487"/>
      <c r="AK135" s="1487"/>
      <c r="AL135" s="1462"/>
    </row>
    <row r="136" spans="2:38" ht="14.1" customHeight="1" x14ac:dyDescent="0.25">
      <c r="B136" s="1541"/>
      <c r="C136" s="1453"/>
      <c r="D136" s="158" t="s">
        <v>615</v>
      </c>
      <c r="E136" s="202" t="s">
        <v>47</v>
      </c>
      <c r="V136" s="100" t="s">
        <v>772</v>
      </c>
      <c r="W136" s="96"/>
      <c r="X136" s="1391"/>
      <c r="Y136" s="1391"/>
      <c r="Z136" s="1391"/>
      <c r="AA136" s="1391"/>
      <c r="AB136" s="1391"/>
      <c r="AC136" s="90"/>
      <c r="AD136" s="223" t="s">
        <v>854</v>
      </c>
      <c r="AE136" s="1486"/>
      <c r="AF136" s="1487"/>
      <c r="AG136" s="1487"/>
      <c r="AH136" s="1487"/>
      <c r="AI136" s="1487"/>
      <c r="AJ136" s="1487"/>
      <c r="AK136" s="1487"/>
      <c r="AL136" s="1462"/>
    </row>
    <row r="137" spans="2:38" ht="14.1" customHeight="1" x14ac:dyDescent="0.25">
      <c r="B137" s="1541"/>
      <c r="C137" s="1453"/>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393"/>
      <c r="Y137" s="1391"/>
      <c r="Z137" s="1391"/>
      <c r="AA137" s="1391"/>
      <c r="AB137" s="1391"/>
      <c r="AC137" s="90"/>
      <c r="AD137" s="223" t="s">
        <v>854</v>
      </c>
      <c r="AE137" s="1486"/>
      <c r="AF137" s="1487"/>
      <c r="AG137" s="1487"/>
      <c r="AH137" s="1487"/>
      <c r="AI137" s="1487"/>
      <c r="AJ137" s="1487"/>
      <c r="AK137" s="1487"/>
      <c r="AL137" s="1462"/>
    </row>
    <row r="138" spans="2:38" ht="14.1" customHeight="1" x14ac:dyDescent="0.25">
      <c r="B138" s="1541"/>
      <c r="C138" s="1453"/>
      <c r="D138" s="158" t="s">
        <v>619</v>
      </c>
      <c r="E138" s="270" t="s">
        <v>584</v>
      </c>
      <c r="V138" s="100" t="s">
        <v>799</v>
      </c>
      <c r="W138" s="96"/>
      <c r="X138" s="1391"/>
      <c r="Y138" s="1391"/>
      <c r="Z138" s="1391"/>
      <c r="AA138" s="1391"/>
      <c r="AB138" s="1391"/>
      <c r="AC138" s="90"/>
      <c r="AD138" s="223" t="s">
        <v>854</v>
      </c>
      <c r="AE138" s="1486"/>
      <c r="AF138" s="1487"/>
      <c r="AG138" s="1487"/>
      <c r="AH138" s="1487"/>
      <c r="AI138" s="1487"/>
      <c r="AJ138" s="1487"/>
      <c r="AK138" s="1487"/>
      <c r="AL138" s="1462"/>
    </row>
    <row r="139" spans="2:38" ht="14.1" customHeight="1" x14ac:dyDescent="0.25">
      <c r="B139" s="1541"/>
      <c r="C139" s="1453"/>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391"/>
      <c r="Y139" s="1391"/>
      <c r="Z139" s="1391"/>
      <c r="AA139" s="1391"/>
      <c r="AB139" s="1391"/>
      <c r="AC139" s="90"/>
      <c r="AD139" s="223" t="s">
        <v>854</v>
      </c>
      <c r="AE139" s="1486"/>
      <c r="AF139" s="1487"/>
      <c r="AG139" s="1487"/>
      <c r="AH139" s="1487"/>
      <c r="AI139" s="1487"/>
      <c r="AJ139" s="1487"/>
      <c r="AK139" s="1487"/>
      <c r="AL139" s="1462"/>
    </row>
    <row r="140" spans="2:38" ht="22.5" customHeight="1" x14ac:dyDescent="0.2">
      <c r="B140" s="1541"/>
      <c r="C140" s="1453"/>
      <c r="D140" s="179" t="s">
        <v>750</v>
      </c>
      <c r="E140" s="1512" t="s">
        <v>50</v>
      </c>
      <c r="F140" s="1513"/>
      <c r="G140" s="1513"/>
      <c r="H140" s="1513"/>
      <c r="I140" s="1513"/>
      <c r="J140" s="1513"/>
      <c r="K140" s="1513"/>
      <c r="L140" s="1513"/>
      <c r="M140" s="1513"/>
      <c r="N140" s="1513"/>
      <c r="O140" s="1513"/>
      <c r="P140" s="1513"/>
      <c r="Q140" s="1513"/>
      <c r="R140" s="1513"/>
      <c r="S140" s="1513"/>
      <c r="T140" s="1513"/>
      <c r="V140" s="100" t="s">
        <v>51</v>
      </c>
      <c r="W140" s="90"/>
      <c r="X140" s="1527"/>
      <c r="Y140" s="1527"/>
      <c r="Z140" s="1527"/>
      <c r="AA140" s="1527"/>
      <c r="AB140" s="1527"/>
      <c r="AC140" s="90"/>
      <c r="AD140" s="224" t="s">
        <v>854</v>
      </c>
      <c r="AE140" s="1486"/>
      <c r="AF140" s="1487"/>
      <c r="AG140" s="1487"/>
      <c r="AH140" s="1487"/>
      <c r="AI140" s="1487"/>
      <c r="AJ140" s="1487"/>
      <c r="AK140" s="1487"/>
      <c r="AL140" s="1462"/>
    </row>
    <row r="141" spans="2:38" ht="14.1" customHeight="1" x14ac:dyDescent="0.25">
      <c r="B141" s="1541"/>
      <c r="C141" s="1453"/>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391"/>
      <c r="Y141" s="1391"/>
      <c r="Z141" s="1391"/>
      <c r="AA141" s="1391"/>
      <c r="AB141" s="1391"/>
      <c r="AC141" s="90"/>
      <c r="AD141" s="223" t="s">
        <v>854</v>
      </c>
      <c r="AE141" s="1486"/>
      <c r="AF141" s="1487"/>
      <c r="AG141" s="1487"/>
      <c r="AH141" s="1487"/>
      <c r="AI141" s="1487"/>
      <c r="AJ141" s="1487"/>
      <c r="AK141" s="1487"/>
      <c r="AL141" s="1462"/>
    </row>
    <row r="142" spans="2:38" ht="14.1" customHeight="1" x14ac:dyDescent="0.25">
      <c r="B142" s="1541"/>
      <c r="C142" s="1453"/>
      <c r="D142" s="148" t="s">
        <v>754</v>
      </c>
      <c r="E142" s="221" t="s">
        <v>54</v>
      </c>
      <c r="V142" s="115" t="s">
        <v>55</v>
      </c>
      <c r="W142" s="85"/>
      <c r="X142" s="1393"/>
      <c r="Y142" s="1391"/>
      <c r="Z142" s="1391"/>
      <c r="AA142" s="1391"/>
      <c r="AB142" s="1391"/>
      <c r="AC142" s="90"/>
      <c r="AD142" s="223" t="s">
        <v>854</v>
      </c>
      <c r="AE142" s="1486"/>
      <c r="AF142" s="1487"/>
      <c r="AG142" s="1487"/>
      <c r="AH142" s="1487"/>
      <c r="AI142" s="1487"/>
      <c r="AJ142" s="1487"/>
      <c r="AK142" s="1487"/>
      <c r="AL142" s="1462"/>
    </row>
    <row r="143" spans="2:38" ht="14.1" customHeight="1" x14ac:dyDescent="0.25">
      <c r="B143" s="1541"/>
      <c r="C143" s="1453"/>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391"/>
      <c r="Y143" s="1391"/>
      <c r="Z143" s="1391"/>
      <c r="AA143" s="1391"/>
      <c r="AB143" s="1391"/>
      <c r="AC143" s="90"/>
      <c r="AD143" s="223" t="s">
        <v>854</v>
      </c>
      <c r="AE143" s="1486"/>
      <c r="AF143" s="1487"/>
      <c r="AG143" s="1487"/>
      <c r="AH143" s="1487"/>
      <c r="AI143" s="1487"/>
      <c r="AJ143" s="1487"/>
      <c r="AK143" s="1487"/>
      <c r="AL143" s="1462"/>
    </row>
    <row r="144" spans="2:38" ht="14.1" customHeight="1" x14ac:dyDescent="0.25">
      <c r="B144" s="1541"/>
      <c r="C144" s="1453"/>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391"/>
      <c r="Y144" s="1391"/>
      <c r="Z144" s="1391"/>
      <c r="AA144" s="1391"/>
      <c r="AB144" s="1391"/>
      <c r="AC144" s="90"/>
      <c r="AD144" s="223" t="s">
        <v>854</v>
      </c>
      <c r="AE144" s="1488"/>
      <c r="AF144" s="1489"/>
      <c r="AG144" s="1489"/>
      <c r="AH144" s="1489"/>
      <c r="AI144" s="1489"/>
      <c r="AJ144" s="1489"/>
      <c r="AK144" s="1489"/>
      <c r="AL144" s="1463"/>
    </row>
    <row r="145" spans="2:38" ht="14.1" customHeight="1" x14ac:dyDescent="0.25">
      <c r="B145" s="1541"/>
      <c r="C145" s="1454"/>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391">
        <v>0</v>
      </c>
      <c r="AH145" s="1391"/>
      <c r="AI145" s="1391"/>
      <c r="AJ145" s="1391"/>
      <c r="AK145" s="1391"/>
      <c r="AL145" s="127" t="s">
        <v>854</v>
      </c>
    </row>
    <row r="146" spans="2:38" ht="14.1" customHeight="1" x14ac:dyDescent="0.25">
      <c r="B146" s="1541"/>
      <c r="C146" s="148">
        <v>4</v>
      </c>
      <c r="D146" s="276" t="s">
        <v>61</v>
      </c>
      <c r="E146" s="136"/>
      <c r="AE146" s="148">
        <v>4</v>
      </c>
      <c r="AF146" s="120"/>
      <c r="AG146" s="1391"/>
      <c r="AH146" s="1391"/>
      <c r="AI146" s="1391"/>
      <c r="AJ146" s="1391"/>
      <c r="AK146" s="1391"/>
      <c r="AL146" s="127" t="s">
        <v>854</v>
      </c>
    </row>
    <row r="147" spans="2:38" ht="14.1" customHeight="1" x14ac:dyDescent="0.25">
      <c r="B147" s="1542"/>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391">
        <v>0</v>
      </c>
      <c r="AH147" s="1391"/>
      <c r="AI147" s="1391"/>
      <c r="AJ147" s="1391"/>
      <c r="AK147" s="1391"/>
      <c r="AL147" s="127" t="s">
        <v>854</v>
      </c>
    </row>
    <row r="148" spans="2:38" ht="14.1" customHeight="1" x14ac:dyDescent="0.25">
      <c r="B148" s="1521" t="s">
        <v>118</v>
      </c>
      <c r="C148" s="161">
        <v>6</v>
      </c>
      <c r="D148" s="277" t="s">
        <v>63</v>
      </c>
      <c r="E148" s="178"/>
      <c r="AE148" s="161">
        <v>6</v>
      </c>
      <c r="AF148" s="120"/>
      <c r="AG148" s="1391"/>
      <c r="AH148" s="1391"/>
      <c r="AI148" s="1391"/>
      <c r="AJ148" s="1391"/>
      <c r="AK148" s="1391"/>
      <c r="AL148" s="127" t="s">
        <v>854</v>
      </c>
    </row>
    <row r="149" spans="2:38" ht="14.1" customHeight="1" x14ac:dyDescent="0.25">
      <c r="B149" s="1522"/>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391"/>
      <c r="AH149" s="1391"/>
      <c r="AI149" s="1391"/>
      <c r="AJ149" s="1391"/>
      <c r="AK149" s="1391"/>
      <c r="AL149" s="127" t="s">
        <v>854</v>
      </c>
    </row>
    <row r="150" spans="2:38" ht="14.1" customHeight="1" x14ac:dyDescent="0.2">
      <c r="B150" s="1522"/>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484"/>
      <c r="AF150" s="1485"/>
      <c r="AG150" s="1485"/>
      <c r="AH150" s="1485"/>
      <c r="AI150" s="1485"/>
      <c r="AJ150" s="1485"/>
      <c r="AK150" s="1485"/>
      <c r="AL150" s="1461"/>
    </row>
    <row r="151" spans="2:38" ht="14.1" customHeight="1" x14ac:dyDescent="0.25">
      <c r="B151" s="1522"/>
      <c r="C151" s="1452"/>
      <c r="D151" s="148" t="s">
        <v>613</v>
      </c>
      <c r="E151" s="136" t="s">
        <v>66</v>
      </c>
      <c r="V151" s="222" t="s">
        <v>67</v>
      </c>
      <c r="X151" s="1391"/>
      <c r="Y151" s="1391"/>
      <c r="Z151" s="1391"/>
      <c r="AA151" s="1391"/>
      <c r="AB151" s="1391"/>
      <c r="AC151" s="90"/>
      <c r="AD151" s="127" t="s">
        <v>854</v>
      </c>
      <c r="AE151" s="1486"/>
      <c r="AF151" s="1487"/>
      <c r="AG151" s="1487"/>
      <c r="AH151" s="1487"/>
      <c r="AI151" s="1487"/>
      <c r="AJ151" s="1487"/>
      <c r="AK151" s="1487"/>
      <c r="AL151" s="1462"/>
    </row>
    <row r="152" spans="2:38" ht="14.1" customHeight="1" x14ac:dyDescent="0.25">
      <c r="B152" s="1522"/>
      <c r="C152" s="1453"/>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391"/>
      <c r="Y152" s="1391"/>
      <c r="Z152" s="1391"/>
      <c r="AA152" s="1391"/>
      <c r="AB152" s="1391"/>
      <c r="AC152" s="90"/>
      <c r="AD152" s="127" t="s">
        <v>854</v>
      </c>
      <c r="AE152" s="1486"/>
      <c r="AF152" s="1487"/>
      <c r="AG152" s="1487"/>
      <c r="AH152" s="1487"/>
      <c r="AI152" s="1487"/>
      <c r="AJ152" s="1487"/>
      <c r="AK152" s="1487"/>
      <c r="AL152" s="1462"/>
    </row>
    <row r="153" spans="2:38" ht="14.1" customHeight="1" x14ac:dyDescent="0.25">
      <c r="B153" s="1522"/>
      <c r="C153" s="1453"/>
      <c r="D153" s="148" t="s">
        <v>617</v>
      </c>
      <c r="E153" s="136" t="s">
        <v>70</v>
      </c>
      <c r="V153" s="103" t="s">
        <v>71</v>
      </c>
      <c r="X153" s="1391"/>
      <c r="Y153" s="1391"/>
      <c r="Z153" s="1391"/>
      <c r="AA153" s="1391"/>
      <c r="AB153" s="1391"/>
      <c r="AC153" s="90"/>
      <c r="AD153" s="127" t="s">
        <v>854</v>
      </c>
      <c r="AE153" s="1486"/>
      <c r="AF153" s="1487"/>
      <c r="AG153" s="1487"/>
      <c r="AH153" s="1487"/>
      <c r="AI153" s="1487"/>
      <c r="AJ153" s="1487"/>
      <c r="AK153" s="1487"/>
      <c r="AL153" s="1462"/>
    </row>
    <row r="154" spans="2:38" ht="14.1" customHeight="1" x14ac:dyDescent="0.25">
      <c r="B154" s="1522"/>
      <c r="C154" s="1453"/>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391"/>
      <c r="Y154" s="1391"/>
      <c r="Z154" s="1391"/>
      <c r="AA154" s="1391"/>
      <c r="AB154" s="1391"/>
      <c r="AC154" s="90"/>
      <c r="AD154" s="127" t="s">
        <v>854</v>
      </c>
      <c r="AE154" s="1486"/>
      <c r="AF154" s="1487"/>
      <c r="AG154" s="1487"/>
      <c r="AH154" s="1487"/>
      <c r="AI154" s="1487"/>
      <c r="AJ154" s="1487"/>
      <c r="AK154" s="1487"/>
      <c r="AL154" s="1462"/>
    </row>
    <row r="155" spans="2:38" ht="14.1" customHeight="1" x14ac:dyDescent="0.25">
      <c r="B155" s="1522"/>
      <c r="C155" s="1453"/>
      <c r="D155" s="148" t="s">
        <v>726</v>
      </c>
      <c r="E155" s="136" t="s">
        <v>41</v>
      </c>
      <c r="V155" s="103" t="s">
        <v>109</v>
      </c>
      <c r="X155" s="1391"/>
      <c r="Y155" s="1391"/>
      <c r="Z155" s="1391"/>
      <c r="AA155" s="1391"/>
      <c r="AB155" s="1391"/>
      <c r="AC155" s="90"/>
      <c r="AD155" s="127" t="s">
        <v>854</v>
      </c>
      <c r="AE155" s="1486"/>
      <c r="AF155" s="1487"/>
      <c r="AG155" s="1487"/>
      <c r="AH155" s="1487"/>
      <c r="AI155" s="1487"/>
      <c r="AJ155" s="1487"/>
      <c r="AK155" s="1487"/>
      <c r="AL155" s="1462"/>
    </row>
    <row r="156" spans="2:38" ht="14.1" customHeight="1" x14ac:dyDescent="0.25">
      <c r="B156" s="1522"/>
      <c r="C156" s="1453"/>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391"/>
      <c r="Y156" s="1391"/>
      <c r="Z156" s="1391"/>
      <c r="AA156" s="1391"/>
      <c r="AB156" s="1391"/>
      <c r="AC156" s="90"/>
      <c r="AD156" s="127" t="s">
        <v>854</v>
      </c>
      <c r="AE156" s="1486"/>
      <c r="AF156" s="1487"/>
      <c r="AG156" s="1487"/>
      <c r="AH156" s="1487"/>
      <c r="AI156" s="1487"/>
      <c r="AJ156" s="1487"/>
      <c r="AK156" s="1487"/>
      <c r="AL156" s="1462"/>
    </row>
    <row r="157" spans="2:38" ht="14.1" customHeight="1" x14ac:dyDescent="0.25">
      <c r="B157" s="1522"/>
      <c r="C157" s="1453"/>
      <c r="D157" s="143" t="s">
        <v>752</v>
      </c>
      <c r="E157" s="136" t="s">
        <v>111</v>
      </c>
      <c r="V157" s="108" t="s">
        <v>112</v>
      </c>
      <c r="X157" s="1466"/>
      <c r="Y157" s="1466"/>
      <c r="Z157" s="1466"/>
      <c r="AA157" s="1466"/>
      <c r="AB157" s="1466"/>
      <c r="AC157" s="82"/>
      <c r="AD157" s="201" t="s">
        <v>854</v>
      </c>
      <c r="AE157" s="1486"/>
      <c r="AF157" s="1487"/>
      <c r="AG157" s="1487"/>
      <c r="AH157" s="1487"/>
      <c r="AI157" s="1487"/>
      <c r="AJ157" s="1487"/>
      <c r="AK157" s="1487"/>
      <c r="AL157" s="1462"/>
    </row>
    <row r="158" spans="2:38" ht="14.1" customHeight="1" x14ac:dyDescent="0.25">
      <c r="B158" s="1522"/>
      <c r="C158" s="1454"/>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391">
        <v>0</v>
      </c>
      <c r="AH158" s="1391"/>
      <c r="AI158" s="1391"/>
      <c r="AJ158" s="1391"/>
      <c r="AK158" s="1391"/>
      <c r="AL158" s="127" t="s">
        <v>854</v>
      </c>
    </row>
    <row r="159" spans="2:38" ht="14.1" customHeight="1" x14ac:dyDescent="0.25">
      <c r="B159" s="1522"/>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391"/>
      <c r="AH159" s="1391"/>
      <c r="AI159" s="1391"/>
      <c r="AJ159" s="1391"/>
      <c r="AK159" s="1391"/>
      <c r="AL159" s="127" t="s">
        <v>854</v>
      </c>
    </row>
    <row r="160" spans="2:38" ht="14.1" customHeight="1" x14ac:dyDescent="0.25">
      <c r="B160" s="1522"/>
      <c r="C160" s="148">
        <v>10</v>
      </c>
      <c r="D160" s="202" t="s">
        <v>115</v>
      </c>
      <c r="E160" s="136"/>
      <c r="V160" s="79"/>
      <c r="AE160" s="148">
        <v>10</v>
      </c>
      <c r="AF160" s="91"/>
      <c r="AG160" s="1391"/>
      <c r="AH160" s="1391"/>
      <c r="AI160" s="1391"/>
      <c r="AJ160" s="1391"/>
      <c r="AK160" s="1391"/>
      <c r="AL160" s="127" t="s">
        <v>854</v>
      </c>
    </row>
    <row r="161" spans="2:38" ht="14.1" customHeight="1" x14ac:dyDescent="0.25">
      <c r="B161" s="1522"/>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391"/>
      <c r="AH161" s="1391"/>
      <c r="AI161" s="1391"/>
      <c r="AJ161" s="1391"/>
      <c r="AK161" s="1391"/>
      <c r="AL161" s="127" t="s">
        <v>854</v>
      </c>
    </row>
    <row r="162" spans="2:38" ht="14.1" customHeight="1" x14ac:dyDescent="0.25">
      <c r="B162" s="1522"/>
      <c r="C162" s="148">
        <v>12</v>
      </c>
      <c r="D162" s="270" t="s">
        <v>117</v>
      </c>
      <c r="E162" s="136"/>
      <c r="AE162" s="148">
        <v>12</v>
      </c>
      <c r="AF162" s="91"/>
      <c r="AG162" s="1391"/>
      <c r="AH162" s="1391"/>
      <c r="AI162" s="1391"/>
      <c r="AJ162" s="1391"/>
      <c r="AK162" s="1391"/>
      <c r="AL162" s="127" t="s">
        <v>854</v>
      </c>
    </row>
    <row r="163" spans="2:38" ht="14.1" customHeight="1" x14ac:dyDescent="0.25">
      <c r="B163" s="1522"/>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391"/>
      <c r="AH163" s="1391"/>
      <c r="AI163" s="1391"/>
      <c r="AJ163" s="1391"/>
      <c r="AK163" s="1391"/>
      <c r="AL163" s="127" t="s">
        <v>854</v>
      </c>
    </row>
    <row r="164" spans="2:38" ht="14.1" customHeight="1" x14ac:dyDescent="0.25">
      <c r="B164" s="1522"/>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391"/>
      <c r="AH164" s="1391"/>
      <c r="AI164" s="1391"/>
      <c r="AJ164" s="1391"/>
      <c r="AK164" s="1391"/>
      <c r="AL164" s="127" t="s">
        <v>854</v>
      </c>
    </row>
    <row r="165" spans="2:38" ht="14.1" customHeight="1" x14ac:dyDescent="0.2">
      <c r="B165" s="1522"/>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x14ac:dyDescent="0.25">
      <c r="B166" s="1522"/>
      <c r="C166" s="1452"/>
      <c r="D166" s="148" t="s">
        <v>613</v>
      </c>
      <c r="E166" s="278" t="s">
        <v>143</v>
      </c>
      <c r="F166" s="90"/>
      <c r="G166" s="90"/>
      <c r="H166" s="90"/>
      <c r="I166" s="90"/>
      <c r="J166" s="90"/>
      <c r="K166" s="90"/>
      <c r="L166" s="90"/>
      <c r="M166" s="90"/>
      <c r="N166" s="90"/>
      <c r="O166" s="90"/>
      <c r="P166" s="90"/>
      <c r="Q166" s="90"/>
      <c r="R166" s="90"/>
      <c r="S166" s="90"/>
      <c r="T166" s="90"/>
      <c r="U166" s="90"/>
      <c r="V166" s="177" t="s">
        <v>144</v>
      </c>
      <c r="X166" s="1391"/>
      <c r="Y166" s="1391"/>
      <c r="Z166" s="1391"/>
      <c r="AA166" s="1391"/>
      <c r="AB166" s="1391"/>
      <c r="AC166" s="90"/>
      <c r="AD166" s="127" t="s">
        <v>854</v>
      </c>
      <c r="AE166" s="1484"/>
      <c r="AF166" s="1485"/>
      <c r="AG166" s="1485"/>
      <c r="AH166" s="1485"/>
      <c r="AI166" s="1485"/>
      <c r="AJ166" s="1485"/>
      <c r="AK166" s="1485"/>
      <c r="AL166" s="1461"/>
    </row>
    <row r="167" spans="2:38" ht="14.1" customHeight="1" x14ac:dyDescent="0.25">
      <c r="B167" s="1522"/>
      <c r="C167" s="1453"/>
      <c r="D167" s="153" t="s">
        <v>615</v>
      </c>
      <c r="E167" s="136" t="s">
        <v>145</v>
      </c>
      <c r="V167" s="225" t="s">
        <v>146</v>
      </c>
      <c r="W167" s="90"/>
      <c r="X167" s="1391"/>
      <c r="Y167" s="1391"/>
      <c r="Z167" s="1391"/>
      <c r="AA167" s="1391"/>
      <c r="AB167" s="1391"/>
      <c r="AC167" s="90"/>
      <c r="AD167" s="127" t="s">
        <v>854</v>
      </c>
      <c r="AE167" s="1486"/>
      <c r="AF167" s="1487"/>
      <c r="AG167" s="1487"/>
      <c r="AH167" s="1487"/>
      <c r="AI167" s="1487"/>
      <c r="AJ167" s="1487"/>
      <c r="AK167" s="1487"/>
      <c r="AL167" s="1462"/>
    </row>
    <row r="168" spans="2:38" ht="14.1" customHeight="1" x14ac:dyDescent="0.25">
      <c r="B168" s="1522"/>
      <c r="C168" s="1453"/>
      <c r="D168" s="148" t="s">
        <v>617</v>
      </c>
      <c r="E168" s="150" t="s">
        <v>147</v>
      </c>
      <c r="F168" s="90"/>
      <c r="G168" s="90"/>
      <c r="H168" s="90"/>
      <c r="I168" s="90"/>
      <c r="J168" s="90"/>
      <c r="K168" s="90"/>
      <c r="L168" s="90"/>
      <c r="M168" s="90"/>
      <c r="N168" s="90"/>
      <c r="O168" s="90"/>
      <c r="P168" s="90"/>
      <c r="Q168" s="90"/>
      <c r="R168" s="90"/>
      <c r="S168" s="90"/>
      <c r="T168" s="90"/>
      <c r="U168" s="90"/>
      <c r="V168" s="97" t="s">
        <v>148</v>
      </c>
      <c r="X168" s="1391"/>
      <c r="Y168" s="1391"/>
      <c r="Z168" s="1391"/>
      <c r="AA168" s="1391"/>
      <c r="AB168" s="1391"/>
      <c r="AC168" s="90"/>
      <c r="AD168" s="127" t="s">
        <v>854</v>
      </c>
      <c r="AE168" s="1486"/>
      <c r="AF168" s="1487"/>
      <c r="AG168" s="1487"/>
      <c r="AH168" s="1487"/>
      <c r="AI168" s="1487"/>
      <c r="AJ168" s="1487"/>
      <c r="AK168" s="1487"/>
      <c r="AL168" s="1462"/>
    </row>
    <row r="169" spans="2:38" ht="14.1" customHeight="1" x14ac:dyDescent="0.25">
      <c r="B169" s="1522"/>
      <c r="C169" s="1453"/>
      <c r="D169" s="153" t="s">
        <v>619</v>
      </c>
      <c r="E169" s="136" t="s">
        <v>149</v>
      </c>
      <c r="V169" s="225" t="s">
        <v>150</v>
      </c>
      <c r="W169" s="90"/>
      <c r="X169" s="1391"/>
      <c r="Y169" s="1391"/>
      <c r="Z169" s="1391"/>
      <c r="AA169" s="1391"/>
      <c r="AB169" s="1391"/>
      <c r="AC169" s="90"/>
      <c r="AD169" s="127" t="s">
        <v>854</v>
      </c>
      <c r="AE169" s="1486"/>
      <c r="AF169" s="1487"/>
      <c r="AG169" s="1487"/>
      <c r="AH169" s="1487"/>
      <c r="AI169" s="1487"/>
      <c r="AJ169" s="1487"/>
      <c r="AK169" s="1487"/>
      <c r="AL169" s="1462"/>
    </row>
    <row r="170" spans="2:38" ht="14.1" customHeight="1" x14ac:dyDescent="0.25">
      <c r="B170" s="1522"/>
      <c r="C170" s="1453"/>
      <c r="D170" s="148" t="s">
        <v>726</v>
      </c>
      <c r="E170" s="150" t="s">
        <v>151</v>
      </c>
      <c r="F170" s="90"/>
      <c r="G170" s="90"/>
      <c r="H170" s="90"/>
      <c r="I170" s="90"/>
      <c r="J170" s="90"/>
      <c r="K170" s="90"/>
      <c r="L170" s="90"/>
      <c r="M170" s="90"/>
      <c r="N170" s="90"/>
      <c r="O170" s="90"/>
      <c r="P170" s="90"/>
      <c r="Q170" s="90"/>
      <c r="R170" s="90"/>
      <c r="S170" s="90"/>
      <c r="T170" s="90"/>
      <c r="U170" s="90"/>
      <c r="V170" s="97" t="s">
        <v>152</v>
      </c>
      <c r="X170" s="1391"/>
      <c r="Y170" s="1391"/>
      <c r="Z170" s="1391"/>
      <c r="AA170" s="1391"/>
      <c r="AB170" s="1391"/>
      <c r="AC170" s="90"/>
      <c r="AD170" s="127" t="s">
        <v>854</v>
      </c>
      <c r="AE170" s="1486"/>
      <c r="AF170" s="1487"/>
      <c r="AG170" s="1487"/>
      <c r="AH170" s="1487"/>
      <c r="AI170" s="1487"/>
      <c r="AJ170" s="1487"/>
      <c r="AK170" s="1487"/>
      <c r="AL170" s="1462"/>
    </row>
    <row r="171" spans="2:38" ht="14.1" customHeight="1" x14ac:dyDescent="0.25">
      <c r="B171" s="1522"/>
      <c r="C171" s="1453"/>
      <c r="D171" s="153" t="s">
        <v>750</v>
      </c>
      <c r="E171" s="136" t="s">
        <v>153</v>
      </c>
      <c r="V171" s="225" t="s">
        <v>154</v>
      </c>
      <c r="W171" s="90"/>
      <c r="X171" s="1391"/>
      <c r="Y171" s="1391"/>
      <c r="Z171" s="1391"/>
      <c r="AA171" s="1391"/>
      <c r="AB171" s="1391"/>
      <c r="AC171" s="90"/>
      <c r="AD171" s="127" t="s">
        <v>854</v>
      </c>
      <c r="AE171" s="1486"/>
      <c r="AF171" s="1487"/>
      <c r="AG171" s="1487"/>
      <c r="AH171" s="1487"/>
      <c r="AI171" s="1487"/>
      <c r="AJ171" s="1487"/>
      <c r="AK171" s="1487"/>
      <c r="AL171" s="1462"/>
    </row>
    <row r="172" spans="2:38" ht="14.1" customHeight="1" x14ac:dyDescent="0.25">
      <c r="B172" s="1522"/>
      <c r="C172" s="1453"/>
      <c r="D172" s="148" t="s">
        <v>752</v>
      </c>
      <c r="E172" s="150" t="s">
        <v>155</v>
      </c>
      <c r="F172" s="90"/>
      <c r="G172" s="90"/>
      <c r="H172" s="90"/>
      <c r="I172" s="90"/>
      <c r="J172" s="90"/>
      <c r="K172" s="90"/>
      <c r="L172" s="90"/>
      <c r="M172" s="90"/>
      <c r="N172" s="90"/>
      <c r="O172" s="90"/>
      <c r="P172" s="90"/>
      <c r="Q172" s="90"/>
      <c r="R172" s="90"/>
      <c r="S172" s="90"/>
      <c r="T172" s="90"/>
      <c r="U172" s="90"/>
      <c r="V172" s="184" t="s">
        <v>156</v>
      </c>
      <c r="X172" s="1466"/>
      <c r="Y172" s="1466"/>
      <c r="Z172" s="1466"/>
      <c r="AA172" s="1466"/>
      <c r="AB172" s="1466"/>
      <c r="AC172" s="82"/>
      <c r="AD172" s="201" t="s">
        <v>854</v>
      </c>
      <c r="AE172" s="1486"/>
      <c r="AF172" s="1487"/>
      <c r="AG172" s="1487"/>
      <c r="AH172" s="1487"/>
      <c r="AI172" s="1487"/>
      <c r="AJ172" s="1487"/>
      <c r="AK172" s="1487"/>
      <c r="AL172" s="1462"/>
    </row>
    <row r="173" spans="2:38" ht="14.1" customHeight="1" x14ac:dyDescent="0.25">
      <c r="B173" s="1522"/>
      <c r="C173" s="1453"/>
      <c r="D173" s="153" t="s">
        <v>754</v>
      </c>
      <c r="E173" s="136" t="s">
        <v>157</v>
      </c>
      <c r="V173" s="225" t="s">
        <v>158</v>
      </c>
      <c r="W173" s="96"/>
      <c r="X173" s="1466"/>
      <c r="Y173" s="1466"/>
      <c r="Z173" s="1466"/>
      <c r="AA173" s="1466"/>
      <c r="AB173" s="1466"/>
      <c r="AC173" s="82"/>
      <c r="AD173" s="201" t="s">
        <v>854</v>
      </c>
      <c r="AE173" s="1486"/>
      <c r="AF173" s="1487"/>
      <c r="AG173" s="1487"/>
      <c r="AH173" s="1487"/>
      <c r="AI173" s="1487"/>
      <c r="AJ173" s="1487"/>
      <c r="AK173" s="1487"/>
      <c r="AL173" s="1462"/>
    </row>
    <row r="174" spans="2:38" ht="14.1" customHeight="1" x14ac:dyDescent="0.25">
      <c r="B174" s="1522"/>
      <c r="C174" s="1453"/>
      <c r="D174" s="148" t="s">
        <v>749</v>
      </c>
      <c r="E174" s="150" t="s">
        <v>159</v>
      </c>
      <c r="F174" s="90"/>
      <c r="G174" s="90"/>
      <c r="H174" s="90"/>
      <c r="I174" s="90"/>
      <c r="J174" s="90"/>
      <c r="K174" s="90"/>
      <c r="L174" s="90"/>
      <c r="M174" s="90"/>
      <c r="N174" s="90"/>
      <c r="O174" s="90"/>
      <c r="P174" s="90"/>
      <c r="Q174" s="90"/>
      <c r="R174" s="90"/>
      <c r="S174" s="90"/>
      <c r="T174" s="90"/>
      <c r="U174" s="90"/>
      <c r="V174" s="184" t="s">
        <v>160</v>
      </c>
      <c r="X174" s="1466"/>
      <c r="Y174" s="1466"/>
      <c r="Z174" s="1466"/>
      <c r="AA174" s="1466"/>
      <c r="AB174" s="1466"/>
      <c r="AC174" s="82"/>
      <c r="AD174" s="201" t="s">
        <v>854</v>
      </c>
      <c r="AE174" s="1486"/>
      <c r="AF174" s="1487"/>
      <c r="AG174" s="1487"/>
      <c r="AH174" s="1487"/>
      <c r="AI174" s="1487"/>
      <c r="AJ174" s="1487"/>
      <c r="AK174" s="1487"/>
      <c r="AL174" s="1462"/>
    </row>
    <row r="175" spans="2:38" ht="22.5" customHeight="1" x14ac:dyDescent="0.25">
      <c r="B175" s="1522"/>
      <c r="C175" s="1453"/>
      <c r="D175" s="157" t="s">
        <v>751</v>
      </c>
      <c r="E175" s="1494" t="s">
        <v>161</v>
      </c>
      <c r="F175" s="1495"/>
      <c r="G175" s="1495"/>
      <c r="H175" s="1495"/>
      <c r="I175" s="1495"/>
      <c r="J175" s="1495"/>
      <c r="K175" s="1495"/>
      <c r="L175" s="1495"/>
      <c r="M175" s="1495"/>
      <c r="N175" s="1495"/>
      <c r="O175" s="1495"/>
      <c r="P175" s="1495"/>
      <c r="Q175" s="1495"/>
      <c r="R175" s="1495"/>
      <c r="S175" s="1495"/>
      <c r="T175" s="1495"/>
      <c r="U175" s="90"/>
      <c r="V175" s="97" t="s">
        <v>162</v>
      </c>
      <c r="W175" s="90"/>
      <c r="X175" s="1391"/>
      <c r="Y175" s="1391"/>
      <c r="Z175" s="1391"/>
      <c r="AA175" s="1391"/>
      <c r="AB175" s="1391"/>
      <c r="AC175" s="90"/>
      <c r="AD175" s="226" t="s">
        <v>854</v>
      </c>
      <c r="AE175" s="1488"/>
      <c r="AF175" s="1489"/>
      <c r="AG175" s="1489"/>
      <c r="AH175" s="1489"/>
      <c r="AI175" s="1489"/>
      <c r="AJ175" s="1489"/>
      <c r="AK175" s="1489"/>
      <c r="AL175" s="1463"/>
    </row>
    <row r="176" spans="2:38" ht="14.1" customHeight="1" x14ac:dyDescent="0.25">
      <c r="B176" s="1522"/>
      <c r="C176" s="1454"/>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391">
        <v>0</v>
      </c>
      <c r="AH176" s="1391"/>
      <c r="AI176" s="1391"/>
      <c r="AJ176" s="1391"/>
      <c r="AK176" s="1391"/>
      <c r="AL176" s="127" t="s">
        <v>854</v>
      </c>
    </row>
    <row r="177" spans="2:38" ht="14.1" customHeight="1" x14ac:dyDescent="0.2">
      <c r="B177" s="1522"/>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484"/>
      <c r="AF177" s="1485"/>
      <c r="AG177" s="1485"/>
      <c r="AH177" s="1485"/>
      <c r="AI177" s="1485"/>
      <c r="AJ177" s="1485"/>
      <c r="AK177" s="1485"/>
      <c r="AL177" s="1461"/>
    </row>
    <row r="178" spans="2:38" ht="14.1" customHeight="1" x14ac:dyDescent="0.25">
      <c r="B178" s="1522"/>
      <c r="C178" s="1453"/>
      <c r="D178" s="153" t="s">
        <v>613</v>
      </c>
      <c r="E178" s="136" t="s">
        <v>165</v>
      </c>
      <c r="V178" s="99" t="s">
        <v>166</v>
      </c>
      <c r="W178" s="85"/>
      <c r="X178" s="1483"/>
      <c r="Y178" s="1483"/>
      <c r="Z178" s="1483"/>
      <c r="AA178" s="1483"/>
      <c r="AB178" s="1483"/>
      <c r="AD178" s="134" t="s">
        <v>854</v>
      </c>
      <c r="AE178" s="1486"/>
      <c r="AF178" s="1487"/>
      <c r="AG178" s="1487"/>
      <c r="AH178" s="1487"/>
      <c r="AI178" s="1487"/>
      <c r="AJ178" s="1487"/>
      <c r="AK178" s="1487"/>
      <c r="AL178" s="1462"/>
    </row>
    <row r="179" spans="2:38" ht="14.1" customHeight="1" x14ac:dyDescent="0.25">
      <c r="B179" s="1522"/>
      <c r="C179" s="1453"/>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466"/>
      <c r="Y179" s="1466"/>
      <c r="Z179" s="1466"/>
      <c r="AA179" s="1466"/>
      <c r="AB179" s="1466"/>
      <c r="AC179" s="82"/>
      <c r="AD179" s="201" t="s">
        <v>854</v>
      </c>
      <c r="AE179" s="1486"/>
      <c r="AF179" s="1487"/>
      <c r="AG179" s="1487"/>
      <c r="AH179" s="1487"/>
      <c r="AI179" s="1487"/>
      <c r="AJ179" s="1487"/>
      <c r="AK179" s="1487"/>
      <c r="AL179" s="1462"/>
    </row>
    <row r="180" spans="2:38" ht="14.1" customHeight="1" x14ac:dyDescent="0.25">
      <c r="B180" s="1522"/>
      <c r="C180" s="1453"/>
      <c r="D180" s="145" t="s">
        <v>617</v>
      </c>
      <c r="E180" s="136" t="s">
        <v>169</v>
      </c>
      <c r="V180" s="102" t="s">
        <v>170</v>
      </c>
      <c r="W180" s="96"/>
      <c r="X180" s="1466"/>
      <c r="Y180" s="1466"/>
      <c r="Z180" s="1466"/>
      <c r="AA180" s="1466"/>
      <c r="AB180" s="1466"/>
      <c r="AC180" s="82"/>
      <c r="AD180" s="201" t="s">
        <v>854</v>
      </c>
      <c r="AE180" s="1486"/>
      <c r="AF180" s="1487"/>
      <c r="AG180" s="1487"/>
      <c r="AH180" s="1487"/>
      <c r="AI180" s="1487"/>
      <c r="AJ180" s="1487"/>
      <c r="AK180" s="1487"/>
      <c r="AL180" s="1462"/>
    </row>
    <row r="181" spans="2:38" ht="14.1" customHeight="1" x14ac:dyDescent="0.25">
      <c r="B181" s="1522"/>
      <c r="C181" s="1453"/>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391"/>
      <c r="Y181" s="1391"/>
      <c r="Z181" s="1391"/>
      <c r="AA181" s="1391"/>
      <c r="AB181" s="1391"/>
      <c r="AC181" s="90"/>
      <c r="AD181" s="127" t="s">
        <v>854</v>
      </c>
      <c r="AE181" s="1488"/>
      <c r="AF181" s="1489"/>
      <c r="AG181" s="1489"/>
      <c r="AH181" s="1489"/>
      <c r="AI181" s="1489"/>
      <c r="AJ181" s="1489"/>
      <c r="AK181" s="1489"/>
      <c r="AL181" s="1463"/>
    </row>
    <row r="182" spans="2:38" ht="14.1" customHeight="1" x14ac:dyDescent="0.25">
      <c r="B182" s="1522"/>
      <c r="C182" s="1454"/>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391">
        <v>0</v>
      </c>
      <c r="AH182" s="1391"/>
      <c r="AI182" s="1391"/>
      <c r="AJ182" s="1391"/>
      <c r="AK182" s="1391"/>
      <c r="AL182" s="127" t="s">
        <v>854</v>
      </c>
    </row>
    <row r="183" spans="2:38" ht="14.1" customHeight="1" x14ac:dyDescent="0.25">
      <c r="B183" s="1522"/>
      <c r="C183" s="148">
        <v>17</v>
      </c>
      <c r="D183" s="276" t="s">
        <v>174</v>
      </c>
      <c r="E183" s="136"/>
      <c r="AE183" s="153">
        <v>17</v>
      </c>
      <c r="AF183" s="91"/>
      <c r="AG183" s="1391"/>
      <c r="AH183" s="1391"/>
      <c r="AI183" s="1391"/>
      <c r="AJ183" s="1391"/>
      <c r="AK183" s="1391"/>
      <c r="AL183" s="127" t="s">
        <v>854</v>
      </c>
    </row>
    <row r="184" spans="2:38" ht="14.1" customHeight="1" x14ac:dyDescent="0.25">
      <c r="B184" s="1522"/>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391"/>
      <c r="AH184" s="1391"/>
      <c r="AI184" s="1391"/>
      <c r="AJ184" s="1391"/>
      <c r="AK184" s="1391"/>
      <c r="AL184" s="127" t="s">
        <v>854</v>
      </c>
    </row>
    <row r="185" spans="2:38" ht="14.1" customHeight="1" x14ac:dyDescent="0.25">
      <c r="B185" s="1523"/>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391"/>
      <c r="AH185" s="1391"/>
      <c r="AI185" s="1391"/>
      <c r="AJ185" s="1391"/>
      <c r="AK185" s="1391"/>
      <c r="AL185" s="127" t="s">
        <v>854</v>
      </c>
    </row>
    <row r="186" spans="2:38" ht="16.5" customHeight="1" x14ac:dyDescent="0.2">
      <c r="B186" s="131"/>
      <c r="C186" s="137"/>
      <c r="D186" s="136"/>
      <c r="E186" s="136"/>
      <c r="AE186" s="125" t="s">
        <v>492</v>
      </c>
      <c r="AF186" s="1403" t="s">
        <v>907</v>
      </c>
      <c r="AG186" s="1403"/>
      <c r="AH186" s="1403"/>
      <c r="AI186" s="1403"/>
      <c r="AJ186" s="132" t="s">
        <v>843</v>
      </c>
      <c r="AK186" s="131"/>
      <c r="AL186" s="133">
        <v>9.06</v>
      </c>
    </row>
    <row r="187" spans="2:38" ht="14.1" customHeight="1" x14ac:dyDescent="0.25">
      <c r="B187" s="1521"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391"/>
      <c r="AH187" s="1391"/>
      <c r="AI187" s="1391"/>
      <c r="AJ187" s="1391"/>
      <c r="AK187" s="1391"/>
      <c r="AL187" s="127" t="s">
        <v>854</v>
      </c>
    </row>
    <row r="188" spans="2:38" ht="15" customHeight="1" x14ac:dyDescent="0.25">
      <c r="B188" s="1522"/>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391"/>
      <c r="AH188" s="1391"/>
      <c r="AI188" s="1391"/>
      <c r="AJ188" s="1391"/>
      <c r="AK188" s="1391"/>
      <c r="AL188" s="127" t="s">
        <v>854</v>
      </c>
    </row>
    <row r="189" spans="2:38" ht="14.1" customHeight="1" x14ac:dyDescent="0.25">
      <c r="B189" s="1522"/>
      <c r="C189" s="148">
        <v>22</v>
      </c>
      <c r="D189" s="136" t="s">
        <v>287</v>
      </c>
      <c r="E189" s="136"/>
      <c r="AE189" s="153">
        <v>22</v>
      </c>
      <c r="AF189" s="91"/>
      <c r="AG189" s="1391"/>
      <c r="AH189" s="1391"/>
      <c r="AI189" s="1391"/>
      <c r="AJ189" s="1391"/>
      <c r="AK189" s="1391"/>
      <c r="AL189" s="127" t="s">
        <v>854</v>
      </c>
    </row>
    <row r="190" spans="2:38" ht="14.1" customHeight="1" x14ac:dyDescent="0.25">
      <c r="B190" s="1522"/>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391"/>
      <c r="AH190" s="1391"/>
      <c r="AI190" s="1391"/>
      <c r="AJ190" s="1391"/>
      <c r="AK190" s="1391"/>
      <c r="AL190" s="127" t="s">
        <v>854</v>
      </c>
    </row>
    <row r="191" spans="2:38" ht="14.1" customHeight="1" x14ac:dyDescent="0.25">
      <c r="B191" s="1522"/>
      <c r="C191" s="148">
        <v>24</v>
      </c>
      <c r="D191" s="136" t="s">
        <v>288</v>
      </c>
      <c r="E191" s="136"/>
      <c r="AE191" s="153">
        <v>24</v>
      </c>
      <c r="AF191" s="91"/>
      <c r="AG191" s="1391"/>
      <c r="AH191" s="1391"/>
      <c r="AI191" s="1391"/>
      <c r="AJ191" s="1391"/>
      <c r="AK191" s="1391"/>
      <c r="AL191" s="127" t="s">
        <v>854</v>
      </c>
    </row>
    <row r="192" spans="2:38" ht="14.1" customHeight="1" x14ac:dyDescent="0.25">
      <c r="B192" s="1522"/>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391"/>
      <c r="AH192" s="1391"/>
      <c r="AI192" s="1391"/>
      <c r="AJ192" s="1391"/>
      <c r="AK192" s="1391"/>
      <c r="AL192" s="127" t="s">
        <v>854</v>
      </c>
    </row>
    <row r="193" spans="2:39" ht="14.1" customHeight="1" x14ac:dyDescent="0.25">
      <c r="B193" s="1522"/>
      <c r="C193" s="143">
        <v>26</v>
      </c>
      <c r="D193" s="276" t="s">
        <v>449</v>
      </c>
      <c r="E193" s="136"/>
      <c r="AE193" s="153">
        <v>26</v>
      </c>
      <c r="AF193" s="91"/>
      <c r="AG193" s="1391"/>
      <c r="AH193" s="1391"/>
      <c r="AI193" s="1391"/>
      <c r="AJ193" s="1391"/>
      <c r="AK193" s="1391"/>
      <c r="AL193" s="127" t="s">
        <v>854</v>
      </c>
    </row>
    <row r="194" spans="2:39" ht="14.1" customHeight="1" x14ac:dyDescent="0.25">
      <c r="B194" s="1522"/>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391"/>
      <c r="AH194" s="1391"/>
      <c r="AI194" s="1391"/>
      <c r="AJ194" s="1391"/>
      <c r="AK194" s="1391"/>
      <c r="AL194" s="127" t="s">
        <v>854</v>
      </c>
    </row>
    <row r="195" spans="2:39" ht="14.1" customHeight="1" x14ac:dyDescent="0.25">
      <c r="B195" s="1522"/>
      <c r="C195" s="153">
        <v>28</v>
      </c>
      <c r="D195" s="136" t="s">
        <v>291</v>
      </c>
      <c r="E195" s="136"/>
      <c r="AE195" s="153">
        <v>28</v>
      </c>
      <c r="AF195" s="91"/>
      <c r="AG195" s="1391"/>
      <c r="AH195" s="1391"/>
      <c r="AI195" s="1391"/>
      <c r="AJ195" s="1391"/>
      <c r="AK195" s="1391"/>
      <c r="AL195" s="127" t="s">
        <v>854</v>
      </c>
    </row>
    <row r="196" spans="2:39" ht="14.1" customHeight="1" x14ac:dyDescent="0.25">
      <c r="B196" s="1522"/>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391"/>
      <c r="AH196" s="1391"/>
      <c r="AI196" s="1391"/>
      <c r="AJ196" s="1391"/>
      <c r="AK196" s="1391"/>
      <c r="AL196" s="127" t="s">
        <v>854</v>
      </c>
    </row>
    <row r="197" spans="2:39" ht="14.1" customHeight="1" x14ac:dyDescent="0.25">
      <c r="B197" s="1522"/>
      <c r="C197" s="153">
        <v>30</v>
      </c>
      <c r="D197" s="276" t="s">
        <v>451</v>
      </c>
      <c r="E197" s="136"/>
      <c r="AE197" s="153">
        <v>30</v>
      </c>
      <c r="AF197" s="91"/>
      <c r="AG197" s="1391"/>
      <c r="AH197" s="1391"/>
      <c r="AI197" s="1391"/>
      <c r="AJ197" s="1391"/>
      <c r="AK197" s="1391"/>
      <c r="AL197" s="127" t="s">
        <v>854</v>
      </c>
    </row>
    <row r="198" spans="2:39" ht="14.1" customHeight="1" x14ac:dyDescent="0.25">
      <c r="B198" s="1522"/>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391"/>
      <c r="AH198" s="1391"/>
      <c r="AI198" s="1391"/>
      <c r="AJ198" s="1391"/>
      <c r="AK198" s="1391"/>
      <c r="AL198" s="127" t="s">
        <v>854</v>
      </c>
    </row>
    <row r="199" spans="2:39" ht="14.1" customHeight="1" x14ac:dyDescent="0.25">
      <c r="B199" s="1522"/>
      <c r="C199" s="153">
        <v>32</v>
      </c>
      <c r="D199" s="136" t="s">
        <v>293</v>
      </c>
      <c r="E199" s="136"/>
      <c r="AE199" s="153">
        <v>32</v>
      </c>
      <c r="AF199" s="91"/>
      <c r="AG199" s="1391"/>
      <c r="AH199" s="1391"/>
      <c r="AI199" s="1391"/>
      <c r="AJ199" s="1391"/>
      <c r="AK199" s="1391"/>
      <c r="AL199" s="127" t="s">
        <v>854</v>
      </c>
    </row>
    <row r="200" spans="2:39" ht="14.1" customHeight="1" x14ac:dyDescent="0.25">
      <c r="B200" s="1522"/>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391"/>
      <c r="AH200" s="1391"/>
      <c r="AI200" s="1391"/>
      <c r="AJ200" s="1391"/>
      <c r="AK200" s="1391"/>
      <c r="AL200" s="127" t="s">
        <v>854</v>
      </c>
    </row>
    <row r="201" spans="2:39" ht="15.75" customHeight="1" x14ac:dyDescent="0.2">
      <c r="B201" s="1522"/>
      <c r="C201" s="145">
        <v>34</v>
      </c>
      <c r="D201" s="182" t="s">
        <v>414</v>
      </c>
      <c r="E201" s="136"/>
      <c r="AE201" s="1394"/>
      <c r="AF201" s="1395"/>
      <c r="AG201" s="1395"/>
      <c r="AH201" s="1395"/>
      <c r="AI201" s="1395"/>
      <c r="AJ201" s="1395"/>
      <c r="AK201" s="1395"/>
      <c r="AL201" s="1396"/>
    </row>
    <row r="202" spans="2:39" ht="14.1" customHeight="1" x14ac:dyDescent="0.25">
      <c r="B202" s="1522"/>
      <c r="C202" s="1452"/>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391"/>
      <c r="Y202" s="1391"/>
      <c r="Z202" s="1391"/>
      <c r="AA202" s="1391"/>
      <c r="AB202" s="1391"/>
      <c r="AC202" s="90"/>
      <c r="AD202" s="127" t="s">
        <v>854</v>
      </c>
      <c r="AE202" s="1397"/>
      <c r="AF202" s="1398"/>
      <c r="AG202" s="1398"/>
      <c r="AH202" s="1398"/>
      <c r="AI202" s="1398"/>
      <c r="AJ202" s="1398"/>
      <c r="AK202" s="1398"/>
      <c r="AL202" s="1399"/>
    </row>
    <row r="203" spans="2:39" ht="14.1" customHeight="1" x14ac:dyDescent="0.25">
      <c r="B203" s="1522"/>
      <c r="C203" s="1453"/>
      <c r="D203" s="145" t="s">
        <v>615</v>
      </c>
      <c r="E203" s="136" t="s">
        <v>296</v>
      </c>
      <c r="V203" s="104" t="s">
        <v>453</v>
      </c>
      <c r="W203" s="96"/>
      <c r="X203" s="1466"/>
      <c r="Y203" s="1466"/>
      <c r="Z203" s="1466"/>
      <c r="AA203" s="1466"/>
      <c r="AB203" s="1466"/>
      <c r="AC203" s="82"/>
      <c r="AD203" s="201" t="s">
        <v>854</v>
      </c>
      <c r="AE203" s="1397"/>
      <c r="AF203" s="1398"/>
      <c r="AG203" s="1398"/>
      <c r="AH203" s="1398"/>
      <c r="AI203" s="1398"/>
      <c r="AJ203" s="1398"/>
      <c r="AK203" s="1398"/>
      <c r="AL203" s="1399"/>
    </row>
    <row r="204" spans="2:39" ht="14.1" customHeight="1" x14ac:dyDescent="0.25">
      <c r="B204" s="1522"/>
      <c r="C204" s="1453"/>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466"/>
      <c r="Y204" s="1466"/>
      <c r="Z204" s="1466"/>
      <c r="AA204" s="1466"/>
      <c r="AB204" s="1466"/>
      <c r="AC204" s="82"/>
      <c r="AD204" s="201" t="s">
        <v>854</v>
      </c>
      <c r="AE204" s="1397"/>
      <c r="AF204" s="1398"/>
      <c r="AG204" s="1398"/>
      <c r="AH204" s="1398"/>
      <c r="AI204" s="1398"/>
      <c r="AJ204" s="1398"/>
      <c r="AK204" s="1398"/>
      <c r="AL204" s="1399"/>
    </row>
    <row r="205" spans="2:39" ht="14.1" customHeight="1" x14ac:dyDescent="0.25">
      <c r="B205" s="1522"/>
      <c r="C205" s="1453"/>
      <c r="D205" s="148" t="s">
        <v>619</v>
      </c>
      <c r="E205" s="136" t="s">
        <v>298</v>
      </c>
      <c r="V205" s="104" t="s">
        <v>455</v>
      </c>
      <c r="W205" s="96"/>
      <c r="X205" s="1391"/>
      <c r="Y205" s="1391"/>
      <c r="Z205" s="1391"/>
      <c r="AA205" s="1391"/>
      <c r="AB205" s="1391"/>
      <c r="AC205" s="90"/>
      <c r="AD205" s="127" t="s">
        <v>854</v>
      </c>
      <c r="AE205" s="1397"/>
      <c r="AF205" s="1398"/>
      <c r="AG205" s="1398"/>
      <c r="AH205" s="1398"/>
      <c r="AI205" s="1398"/>
      <c r="AJ205" s="1398"/>
      <c r="AK205" s="1398"/>
      <c r="AL205" s="1399"/>
    </row>
    <row r="206" spans="2:39" ht="14.1" customHeight="1" x14ac:dyDescent="0.25">
      <c r="B206" s="1522"/>
      <c r="C206" s="1453"/>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391"/>
      <c r="Y206" s="1391"/>
      <c r="Z206" s="1391"/>
      <c r="AA206" s="1391"/>
      <c r="AB206" s="1391"/>
      <c r="AC206" s="90"/>
      <c r="AD206" s="127" t="s">
        <v>854</v>
      </c>
      <c r="AE206" s="1400"/>
      <c r="AF206" s="1401"/>
      <c r="AG206" s="1401"/>
      <c r="AH206" s="1401"/>
      <c r="AI206" s="1401"/>
      <c r="AJ206" s="1401"/>
      <c r="AK206" s="1401"/>
      <c r="AL206" s="1402"/>
    </row>
    <row r="207" spans="2:39" ht="14.1" customHeight="1" x14ac:dyDescent="0.25">
      <c r="B207" s="1522"/>
      <c r="C207" s="1454"/>
      <c r="D207" s="143" t="s">
        <v>750</v>
      </c>
      <c r="E207" s="136" t="s">
        <v>299</v>
      </c>
      <c r="AE207" s="109" t="s">
        <v>457</v>
      </c>
      <c r="AF207" s="91"/>
      <c r="AG207" s="1391">
        <v>0</v>
      </c>
      <c r="AH207" s="1391"/>
      <c r="AI207" s="1391"/>
      <c r="AJ207" s="1391"/>
      <c r="AK207" s="1391"/>
      <c r="AL207" s="127" t="s">
        <v>854</v>
      </c>
    </row>
    <row r="208" spans="2:39" ht="14.1" customHeight="1" x14ac:dyDescent="0.25">
      <c r="B208" s="1522"/>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391"/>
      <c r="AH208" s="1391"/>
      <c r="AI208" s="1391"/>
      <c r="AJ208" s="1391"/>
      <c r="AK208" s="1391"/>
      <c r="AL208" s="223" t="s">
        <v>854</v>
      </c>
      <c r="AM208" s="83"/>
    </row>
    <row r="209" spans="2:39" ht="14.1" customHeight="1" x14ac:dyDescent="0.25">
      <c r="B209" s="1522"/>
      <c r="C209" s="148">
        <v>36</v>
      </c>
      <c r="D209" s="276" t="s">
        <v>301</v>
      </c>
      <c r="E209" s="136"/>
      <c r="AE209" s="115">
        <v>36</v>
      </c>
      <c r="AF209" s="91"/>
      <c r="AG209" s="1391"/>
      <c r="AH209" s="1391"/>
      <c r="AI209" s="1391"/>
      <c r="AJ209" s="1391"/>
      <c r="AK209" s="1391"/>
      <c r="AL209" s="223" t="s">
        <v>854</v>
      </c>
      <c r="AM209" s="83"/>
    </row>
    <row r="210" spans="2:39" ht="14.1" customHeight="1" x14ac:dyDescent="0.25">
      <c r="B210" s="1522"/>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391"/>
      <c r="AH210" s="1391"/>
      <c r="AI210" s="1391"/>
      <c r="AJ210" s="1391"/>
      <c r="AK210" s="1391"/>
      <c r="AL210" s="223" t="s">
        <v>854</v>
      </c>
      <c r="AM210" s="83"/>
    </row>
    <row r="211" spans="2:39" ht="14.1" customHeight="1" x14ac:dyDescent="0.25">
      <c r="B211" s="1522"/>
      <c r="C211" s="148">
        <v>38</v>
      </c>
      <c r="D211" s="136" t="s">
        <v>211</v>
      </c>
      <c r="E211" s="136"/>
      <c r="AE211" s="115">
        <v>38</v>
      </c>
      <c r="AF211" s="91"/>
      <c r="AG211" s="1391"/>
      <c r="AH211" s="1391"/>
      <c r="AI211" s="1391"/>
      <c r="AJ211" s="1391"/>
      <c r="AK211" s="1391"/>
      <c r="AL211" s="223" t="s">
        <v>854</v>
      </c>
      <c r="AM211" s="83"/>
    </row>
    <row r="212" spans="2:39" ht="14.1" customHeight="1" x14ac:dyDescent="0.25">
      <c r="B212" s="1522"/>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466"/>
      <c r="AH212" s="1466"/>
      <c r="AI212" s="1466"/>
      <c r="AJ212" s="1466"/>
      <c r="AK212" s="1466"/>
      <c r="AL212" s="223" t="s">
        <v>854</v>
      </c>
      <c r="AM212" s="83"/>
    </row>
    <row r="213" spans="2:39" ht="14.1" customHeight="1" x14ac:dyDescent="0.2">
      <c r="B213" s="1522"/>
      <c r="C213" s="1500">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500">
        <v>40</v>
      </c>
      <c r="AF213" s="1394"/>
      <c r="AG213" s="1502">
        <v>0</v>
      </c>
      <c r="AH213" s="1502"/>
      <c r="AI213" s="1502"/>
      <c r="AJ213" s="1502"/>
      <c r="AK213" s="1502"/>
      <c r="AL213" s="1498" t="s">
        <v>854</v>
      </c>
      <c r="AM213" s="83"/>
    </row>
    <row r="214" spans="2:39" ht="14.1" customHeight="1" x14ac:dyDescent="0.2">
      <c r="B214" s="1522"/>
      <c r="C214" s="1501"/>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501"/>
      <c r="AF214" s="1400"/>
      <c r="AG214" s="1503"/>
      <c r="AH214" s="1503"/>
      <c r="AI214" s="1503"/>
      <c r="AJ214" s="1503"/>
      <c r="AK214" s="1503"/>
      <c r="AL214" s="1499"/>
      <c r="AM214" s="83"/>
    </row>
    <row r="215" spans="2:39" ht="14.1" customHeight="1" x14ac:dyDescent="0.25">
      <c r="B215" s="1522"/>
      <c r="C215" s="148">
        <v>41</v>
      </c>
      <c r="D215" s="276" t="s">
        <v>304</v>
      </c>
      <c r="E215" s="136"/>
      <c r="AE215" s="115">
        <v>41</v>
      </c>
      <c r="AF215" s="91"/>
      <c r="AG215" s="1393"/>
      <c r="AH215" s="1393"/>
      <c r="AI215" s="1393"/>
      <c r="AJ215" s="1393"/>
      <c r="AK215" s="1393"/>
      <c r="AL215" s="223" t="s">
        <v>854</v>
      </c>
      <c r="AM215" s="83"/>
    </row>
    <row r="216" spans="2:39" ht="14.1" customHeight="1" x14ac:dyDescent="0.25">
      <c r="B216" s="1522"/>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391"/>
      <c r="AH216" s="1391"/>
      <c r="AI216" s="1391"/>
      <c r="AJ216" s="1391"/>
      <c r="AK216" s="1391"/>
      <c r="AL216" s="223" t="s">
        <v>854</v>
      </c>
      <c r="AM216" s="83"/>
    </row>
    <row r="217" spans="2:39" ht="14.1" customHeight="1" x14ac:dyDescent="0.25">
      <c r="B217" s="1523"/>
      <c r="C217" s="148">
        <v>43</v>
      </c>
      <c r="D217" s="136" t="s">
        <v>415</v>
      </c>
      <c r="E217" s="136"/>
      <c r="AE217" s="115">
        <v>43</v>
      </c>
      <c r="AF217" s="91"/>
      <c r="AG217" s="1391">
        <v>0</v>
      </c>
      <c r="AH217" s="1391"/>
      <c r="AI217" s="1391"/>
      <c r="AJ217" s="1391"/>
      <c r="AK217" s="1391"/>
      <c r="AL217" s="223" t="s">
        <v>854</v>
      </c>
      <c r="AM217" s="83"/>
    </row>
    <row r="218" spans="2:39" ht="14.1" customHeight="1" x14ac:dyDescent="0.25">
      <c r="B218" s="1537"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391"/>
      <c r="AH218" s="1391"/>
      <c r="AI218" s="1391"/>
      <c r="AJ218" s="1391"/>
      <c r="AK218" s="1391"/>
      <c r="AL218" s="223" t="s">
        <v>854</v>
      </c>
      <c r="AM218" s="83"/>
    </row>
    <row r="219" spans="2:39" ht="14.1" customHeight="1" x14ac:dyDescent="0.25">
      <c r="B219" s="1538"/>
      <c r="C219" s="148">
        <v>45</v>
      </c>
      <c r="D219" s="136" t="s">
        <v>306</v>
      </c>
      <c r="E219" s="136"/>
      <c r="AE219" s="115">
        <v>45</v>
      </c>
      <c r="AF219" s="91"/>
      <c r="AG219" s="1391"/>
      <c r="AH219" s="1391"/>
      <c r="AI219" s="1391"/>
      <c r="AJ219" s="1391"/>
      <c r="AK219" s="1391"/>
      <c r="AL219" s="223" t="s">
        <v>854</v>
      </c>
      <c r="AM219" s="83"/>
    </row>
    <row r="220" spans="2:39" ht="14.1" customHeight="1" x14ac:dyDescent="0.25">
      <c r="B220" s="1538"/>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391">
        <v>0</v>
      </c>
      <c r="AH220" s="1391"/>
      <c r="AI220" s="1391"/>
      <c r="AJ220" s="1391"/>
      <c r="AK220" s="1391"/>
      <c r="AL220" s="223" t="s">
        <v>854</v>
      </c>
      <c r="AM220" s="83"/>
    </row>
    <row r="221" spans="2:39" ht="14.1" customHeight="1" x14ac:dyDescent="0.25">
      <c r="B221" s="1538"/>
      <c r="C221" s="148">
        <v>47</v>
      </c>
      <c r="D221" s="136" t="s">
        <v>313</v>
      </c>
      <c r="E221" s="136"/>
      <c r="AE221" s="115">
        <v>47</v>
      </c>
      <c r="AF221" s="91"/>
      <c r="AG221" s="1391"/>
      <c r="AH221" s="1391"/>
      <c r="AI221" s="1391"/>
      <c r="AJ221" s="1391"/>
      <c r="AK221" s="1391"/>
      <c r="AL221" s="223" t="s">
        <v>854</v>
      </c>
      <c r="AM221" s="83"/>
    </row>
    <row r="222" spans="2:39" ht="14.1" customHeight="1" x14ac:dyDescent="0.25">
      <c r="B222" s="1538"/>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391">
        <v>0</v>
      </c>
      <c r="AH222" s="1391"/>
      <c r="AI222" s="1391"/>
      <c r="AJ222" s="1391"/>
      <c r="AK222" s="1391"/>
      <c r="AL222" s="223" t="s">
        <v>854</v>
      </c>
      <c r="AM222" s="83"/>
    </row>
    <row r="223" spans="2:39" ht="14.1" customHeight="1" x14ac:dyDescent="0.25">
      <c r="B223" s="1538"/>
      <c r="C223" s="148">
        <v>49</v>
      </c>
      <c r="D223" s="136" t="s">
        <v>307</v>
      </c>
      <c r="E223" s="136"/>
      <c r="AE223" s="115">
        <v>49</v>
      </c>
      <c r="AF223" s="91"/>
      <c r="AG223" s="1391"/>
      <c r="AH223" s="1391"/>
      <c r="AI223" s="1391"/>
      <c r="AJ223" s="1391"/>
      <c r="AK223" s="1391"/>
      <c r="AL223" s="223" t="s">
        <v>854</v>
      </c>
      <c r="AM223" s="83"/>
    </row>
    <row r="224" spans="2:39" ht="14.1" customHeight="1" x14ac:dyDescent="0.25">
      <c r="B224" s="1539"/>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391">
        <v>0</v>
      </c>
      <c r="AH224" s="1391"/>
      <c r="AI224" s="1391"/>
      <c r="AJ224" s="1391"/>
      <c r="AK224" s="1391"/>
      <c r="AL224" s="223" t="s">
        <v>854</v>
      </c>
      <c r="AM224" s="83"/>
    </row>
    <row r="225" spans="2:39" ht="41.25" customHeight="1" x14ac:dyDescent="0.2">
      <c r="B225" s="1534" t="s">
        <v>30</v>
      </c>
      <c r="C225" s="157">
        <v>51</v>
      </c>
      <c r="D225" s="1475" t="s">
        <v>314</v>
      </c>
      <c r="E225" s="1476"/>
      <c r="F225" s="1476"/>
      <c r="G225" s="1476"/>
      <c r="H225" s="1476"/>
      <c r="I225" s="1476"/>
      <c r="J225" s="1476"/>
      <c r="K225" s="1476"/>
      <c r="L225" s="1476"/>
      <c r="M225" s="1476"/>
      <c r="N225" s="1476"/>
      <c r="O225" s="1476"/>
      <c r="P225" s="1476"/>
      <c r="Q225" s="1476"/>
      <c r="R225" s="1476"/>
      <c r="S225" s="1476"/>
      <c r="T225" s="1476"/>
      <c r="U225" s="1476"/>
      <c r="V225" s="1476"/>
      <c r="W225" s="1476"/>
      <c r="X225" s="1476"/>
      <c r="Y225" s="1476"/>
      <c r="Z225" s="1476"/>
      <c r="AA225" s="1476"/>
      <c r="AB225" s="1476"/>
      <c r="AC225" s="1476"/>
      <c r="AE225" s="1404"/>
      <c r="AF225" s="1405"/>
      <c r="AG225" s="1405"/>
      <c r="AH225" s="1405"/>
      <c r="AI225" s="1405"/>
      <c r="AJ225" s="1405"/>
      <c r="AK225" s="1405"/>
      <c r="AL225" s="1405"/>
      <c r="AM225" s="83"/>
    </row>
    <row r="226" spans="2:39" ht="15" customHeight="1" x14ac:dyDescent="0.25">
      <c r="B226" s="1535"/>
      <c r="C226" s="1452"/>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434">
        <v>0</v>
      </c>
      <c r="AH226" s="1434"/>
      <c r="AI226" s="1434"/>
      <c r="AJ226" s="1434"/>
      <c r="AK226" s="1434"/>
      <c r="AL226" s="223" t="s">
        <v>854</v>
      </c>
      <c r="AM226" s="83"/>
    </row>
    <row r="227" spans="2:39" ht="15" customHeight="1" x14ac:dyDescent="0.25">
      <c r="B227" s="1535"/>
      <c r="C227" s="1453"/>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434">
        <v>0</v>
      </c>
      <c r="AH227" s="1434"/>
      <c r="AI227" s="1434"/>
      <c r="AJ227" s="1434"/>
      <c r="AK227" s="1434"/>
      <c r="AL227" s="223" t="s">
        <v>854</v>
      </c>
      <c r="AM227" s="83"/>
    </row>
    <row r="228" spans="2:39" ht="15" customHeight="1" x14ac:dyDescent="0.25">
      <c r="B228" s="1535"/>
      <c r="C228" s="1453"/>
      <c r="D228" s="145" t="s">
        <v>617</v>
      </c>
      <c r="E228" s="136" t="s">
        <v>824</v>
      </c>
      <c r="AE228" s="115" t="s">
        <v>180</v>
      </c>
      <c r="AF228" s="91"/>
      <c r="AG228" s="1434">
        <v>0</v>
      </c>
      <c r="AH228" s="1434"/>
      <c r="AI228" s="1434"/>
      <c r="AJ228" s="1434"/>
      <c r="AK228" s="1434"/>
      <c r="AL228" s="223" t="s">
        <v>854</v>
      </c>
      <c r="AM228" s="83"/>
    </row>
    <row r="229" spans="2:39" ht="15" customHeight="1" x14ac:dyDescent="0.25">
      <c r="B229" s="1536"/>
      <c r="C229" s="1454"/>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526">
        <v>0</v>
      </c>
      <c r="AH229" s="1434"/>
      <c r="AI229" s="1434"/>
      <c r="AJ229" s="1434"/>
      <c r="AK229" s="1434"/>
      <c r="AL229" s="223" t="s">
        <v>854</v>
      </c>
      <c r="AM229" s="83"/>
    </row>
    <row r="230" spans="2:39" ht="15.75" customHeight="1" x14ac:dyDescent="0.3">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x14ac:dyDescent="0.25">
      <c r="B231" s="122"/>
      <c r="C231" s="228"/>
      <c r="D231" s="122"/>
      <c r="E231" s="122"/>
      <c r="F231" s="122"/>
      <c r="G231" s="186"/>
      <c r="AM231" s="83"/>
    </row>
    <row r="232" spans="2:39" ht="15" customHeight="1" x14ac:dyDescent="0.2">
      <c r="B232" s="1511" t="s">
        <v>606</v>
      </c>
      <c r="C232" s="187">
        <v>1</v>
      </c>
      <c r="D232" s="178" t="s">
        <v>417</v>
      </c>
      <c r="E232" s="178"/>
      <c r="U232" s="94" t="s">
        <v>515</v>
      </c>
      <c r="X232" s="104"/>
      <c r="Y232" s="78" t="s">
        <v>418</v>
      </c>
      <c r="AD232" s="104"/>
      <c r="AE232" s="92" t="s">
        <v>419</v>
      </c>
      <c r="AM232" s="83"/>
    </row>
    <row r="233" spans="2:39" ht="3" customHeight="1" x14ac:dyDescent="0.2">
      <c r="B233" s="1511"/>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x14ac:dyDescent="0.2">
      <c r="B234" s="1511"/>
      <c r="C234" s="187"/>
      <c r="D234" s="178"/>
      <c r="E234" s="178"/>
      <c r="AE234" s="79"/>
      <c r="AM234" s="83"/>
    </row>
    <row r="235" spans="2:39" ht="14.1" customHeight="1" x14ac:dyDescent="0.2">
      <c r="B235" s="1511"/>
      <c r="C235" s="187">
        <v>2</v>
      </c>
      <c r="D235" s="178" t="s">
        <v>420</v>
      </c>
      <c r="E235" s="178"/>
      <c r="U235" s="94" t="s">
        <v>515</v>
      </c>
      <c r="X235" s="104"/>
      <c r="Y235" s="78" t="s">
        <v>488</v>
      </c>
      <c r="AD235" s="104"/>
      <c r="AE235" s="79" t="s">
        <v>489</v>
      </c>
      <c r="AM235" s="83"/>
    </row>
    <row r="236" spans="2:39" ht="3" customHeight="1" x14ac:dyDescent="0.2">
      <c r="B236" s="1511"/>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x14ac:dyDescent="0.25">
      <c r="B237" s="1511"/>
      <c r="C237" s="222">
        <v>3</v>
      </c>
      <c r="D237" s="1494" t="s">
        <v>202</v>
      </c>
      <c r="E237" s="1495"/>
      <c r="F237" s="1495"/>
      <c r="G237" s="1495"/>
      <c r="H237" s="1495"/>
      <c r="I237" s="1495"/>
      <c r="J237" s="1495"/>
      <c r="K237" s="1495"/>
      <c r="L237" s="1495"/>
      <c r="M237" s="1495"/>
      <c r="N237" s="1495"/>
      <c r="O237" s="1495"/>
      <c r="P237" s="1495"/>
      <c r="Q237" s="1495"/>
      <c r="R237" s="1495"/>
      <c r="S237" s="1495"/>
      <c r="T237" s="1495"/>
      <c r="U237" s="1495"/>
      <c r="V237" s="1495"/>
      <c r="W237" s="1495"/>
      <c r="X237" s="1495"/>
      <c r="Y237" s="1495"/>
      <c r="Z237" s="1495"/>
      <c r="AA237" s="1495"/>
      <c r="AB237" s="1495"/>
      <c r="AC237" s="1495"/>
      <c r="AE237" s="103">
        <v>3</v>
      </c>
      <c r="AG237" s="1391"/>
      <c r="AH237" s="1391"/>
      <c r="AI237" s="1391"/>
      <c r="AJ237" s="1391"/>
      <c r="AK237" s="1391"/>
      <c r="AL237" s="231" t="s">
        <v>854</v>
      </c>
      <c r="AM237" s="83"/>
    </row>
    <row r="238" spans="2:39" x14ac:dyDescent="0.2">
      <c r="B238" s="1511"/>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x14ac:dyDescent="0.2">
      <c r="B239" s="1511"/>
      <c r="C239" s="153"/>
      <c r="D239" s="142"/>
      <c r="E239" s="136"/>
      <c r="AE239" s="79"/>
      <c r="AM239" s="83"/>
    </row>
    <row r="240" spans="2:39" ht="14.1" customHeight="1" x14ac:dyDescent="0.2">
      <c r="B240" s="1511"/>
      <c r="C240" s="1450"/>
      <c r="D240" s="153" t="s">
        <v>613</v>
      </c>
      <c r="E240" s="182" t="s">
        <v>204</v>
      </c>
      <c r="AE240" s="79"/>
      <c r="AJ240" s="104"/>
      <c r="AM240" s="83"/>
    </row>
    <row r="241" spans="2:39" ht="3" customHeight="1" x14ac:dyDescent="0.2">
      <c r="B241" s="1511"/>
      <c r="C241" s="1450"/>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x14ac:dyDescent="0.2">
      <c r="B242" s="1511"/>
      <c r="C242" s="1450"/>
      <c r="D242" s="180"/>
      <c r="E242" s="182"/>
      <c r="AE242" s="79"/>
      <c r="AM242" s="83"/>
    </row>
    <row r="243" spans="2:39" ht="15" customHeight="1" x14ac:dyDescent="0.2">
      <c r="B243" s="1511"/>
      <c r="C243" s="1450"/>
      <c r="D243" s="208" t="s">
        <v>615</v>
      </c>
      <c r="E243" s="182" t="s">
        <v>465</v>
      </c>
      <c r="AE243" s="79"/>
      <c r="AJ243" s="104"/>
      <c r="AM243" s="83"/>
    </row>
    <row r="244" spans="2:39" ht="3" customHeight="1" x14ac:dyDescent="0.2">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x14ac:dyDescent="0.2">
      <c r="AE245" s="125" t="s">
        <v>492</v>
      </c>
      <c r="AF245" s="1403" t="s">
        <v>907</v>
      </c>
      <c r="AG245" s="1403"/>
      <c r="AH245" s="1403"/>
      <c r="AI245" s="1403"/>
      <c r="AJ245" s="132" t="s">
        <v>844</v>
      </c>
      <c r="AK245" s="131"/>
      <c r="AL245" s="133">
        <v>9.06</v>
      </c>
    </row>
    <row r="246" spans="2:39" ht="3" customHeight="1" x14ac:dyDescent="0.2">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x14ac:dyDescent="0.2">
      <c r="C247" s="99"/>
      <c r="D247" s="99"/>
      <c r="AE247" s="79"/>
      <c r="AM247" s="83"/>
    </row>
    <row r="248" spans="2:39" ht="14.1" customHeight="1" x14ac:dyDescent="0.2">
      <c r="B248" s="1398"/>
      <c r="C248" s="1450"/>
      <c r="D248" s="108" t="s">
        <v>617</v>
      </c>
      <c r="E248" s="136" t="s">
        <v>826</v>
      </c>
      <c r="U248" s="94" t="s">
        <v>515</v>
      </c>
      <c r="X248" s="104"/>
      <c r="Y248" s="78" t="s">
        <v>488</v>
      </c>
      <c r="AB248" s="104"/>
      <c r="AD248" s="79" t="s">
        <v>489</v>
      </c>
      <c r="AM248" s="83"/>
    </row>
    <row r="249" spans="2:39" ht="3" customHeight="1" x14ac:dyDescent="0.2">
      <c r="B249" s="1398"/>
      <c r="C249" s="1397"/>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x14ac:dyDescent="0.25">
      <c r="B250" s="1398"/>
      <c r="C250" s="1451"/>
      <c r="D250" s="103" t="s">
        <v>619</v>
      </c>
      <c r="E250" s="1414" t="s">
        <v>472</v>
      </c>
      <c r="F250" s="1415"/>
      <c r="G250" s="1415"/>
      <c r="H250" s="1415"/>
      <c r="I250" s="1415"/>
      <c r="J250" s="1415"/>
      <c r="K250" s="1415"/>
      <c r="L250" s="1415"/>
      <c r="M250" s="1415"/>
      <c r="N250" s="1415"/>
      <c r="O250" s="1415"/>
      <c r="P250" s="1415"/>
      <c r="Q250" s="1415"/>
      <c r="R250" s="1415"/>
      <c r="S250" s="1415"/>
      <c r="T250" s="1415"/>
      <c r="U250" s="1415"/>
      <c r="V250" s="1415"/>
      <c r="W250" s="1415"/>
      <c r="X250" s="1415"/>
      <c r="Y250" s="1415"/>
      <c r="Z250" s="1415"/>
      <c r="AA250" s="1415"/>
      <c r="AB250" s="1415"/>
      <c r="AE250" s="100" t="s">
        <v>28</v>
      </c>
      <c r="AF250" s="91"/>
      <c r="AG250" s="1391"/>
      <c r="AH250" s="1391"/>
      <c r="AI250" s="1391"/>
      <c r="AJ250" s="1391"/>
      <c r="AK250" s="1391"/>
      <c r="AL250" s="223" t="s">
        <v>854</v>
      </c>
      <c r="AM250" s="83"/>
    </row>
    <row r="251" spans="2:39" x14ac:dyDescent="0.2">
      <c r="B251" s="1398"/>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394"/>
      <c r="AF251" s="1395"/>
      <c r="AG251" s="1395"/>
      <c r="AH251" s="1395"/>
      <c r="AI251" s="1395"/>
      <c r="AJ251" s="1395"/>
      <c r="AK251" s="1395"/>
      <c r="AL251" s="1396"/>
      <c r="AM251" s="83"/>
    </row>
    <row r="252" spans="2:39" ht="12" x14ac:dyDescent="0.25">
      <c r="B252" s="1398"/>
      <c r="C252" s="1449"/>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393"/>
      <c r="Y252" s="1393"/>
      <c r="Z252" s="1393"/>
      <c r="AA252" s="1393"/>
      <c r="AB252" s="1393"/>
      <c r="AC252" s="90"/>
      <c r="AD252" s="126" t="s">
        <v>854</v>
      </c>
      <c r="AE252" s="1397"/>
      <c r="AF252" s="1398"/>
      <c r="AG252" s="1398"/>
      <c r="AH252" s="1398"/>
      <c r="AI252" s="1398"/>
      <c r="AJ252" s="1398"/>
      <c r="AK252" s="1398"/>
      <c r="AL252" s="1399"/>
      <c r="AM252" s="83"/>
    </row>
    <row r="253" spans="2:39" ht="54.75" customHeight="1" x14ac:dyDescent="0.25">
      <c r="B253" s="1398"/>
      <c r="C253" s="1450"/>
      <c r="D253" s="103" t="s">
        <v>615</v>
      </c>
      <c r="E253" s="1414" t="s">
        <v>473</v>
      </c>
      <c r="F253" s="1415"/>
      <c r="G253" s="1415"/>
      <c r="H253" s="1415"/>
      <c r="I253" s="1415"/>
      <c r="J253" s="1415"/>
      <c r="K253" s="1415"/>
      <c r="L253" s="1415"/>
      <c r="M253" s="1415"/>
      <c r="N253" s="1415"/>
      <c r="O253" s="1415"/>
      <c r="P253" s="1415"/>
      <c r="Q253" s="1415"/>
      <c r="R253" s="1415"/>
      <c r="S253" s="1415"/>
      <c r="T253" s="1415"/>
      <c r="U253" s="89"/>
      <c r="V253" s="103" t="s">
        <v>784</v>
      </c>
      <c r="W253" s="96"/>
      <c r="X253" s="1466"/>
      <c r="Y253" s="1466"/>
      <c r="Z253" s="1466"/>
      <c r="AA253" s="1466"/>
      <c r="AB253" s="1466"/>
      <c r="AD253" s="232" t="s">
        <v>854</v>
      </c>
      <c r="AE253" s="1397"/>
      <c r="AF253" s="1398"/>
      <c r="AG253" s="1398"/>
      <c r="AH253" s="1398"/>
      <c r="AI253" s="1398"/>
      <c r="AJ253" s="1398"/>
      <c r="AK253" s="1398"/>
      <c r="AL253" s="1399"/>
      <c r="AM253" s="83"/>
    </row>
    <row r="254" spans="2:39" ht="14.1" customHeight="1" x14ac:dyDescent="0.25">
      <c r="B254" s="1398"/>
      <c r="C254" s="1450"/>
      <c r="D254" s="115" t="s">
        <v>617</v>
      </c>
      <c r="E254" s="136" t="s">
        <v>205</v>
      </c>
      <c r="V254" s="115" t="s">
        <v>785</v>
      </c>
      <c r="W254" s="96"/>
      <c r="X254" s="1466"/>
      <c r="Y254" s="1466"/>
      <c r="Z254" s="1466"/>
      <c r="AA254" s="1466"/>
      <c r="AB254" s="1466"/>
      <c r="AC254" s="90"/>
      <c r="AD254" s="201" t="s">
        <v>854</v>
      </c>
      <c r="AE254" s="1397"/>
      <c r="AF254" s="1398"/>
      <c r="AG254" s="1398"/>
      <c r="AH254" s="1398"/>
      <c r="AI254" s="1398"/>
      <c r="AJ254" s="1398"/>
      <c r="AK254" s="1398"/>
      <c r="AL254" s="1399"/>
      <c r="AM254" s="83"/>
    </row>
    <row r="255" spans="2:39" ht="14.1" customHeight="1" x14ac:dyDescent="0.25">
      <c r="B255" s="1398"/>
      <c r="C255" s="1450"/>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391"/>
      <c r="Y255" s="1391"/>
      <c r="Z255" s="1391"/>
      <c r="AA255" s="1391"/>
      <c r="AB255" s="1391"/>
      <c r="AC255" s="90"/>
      <c r="AD255" s="127" t="s">
        <v>854</v>
      </c>
      <c r="AE255" s="1397"/>
      <c r="AF255" s="1398"/>
      <c r="AG255" s="1398"/>
      <c r="AH255" s="1398"/>
      <c r="AI255" s="1398"/>
      <c r="AJ255" s="1398"/>
      <c r="AK255" s="1398"/>
      <c r="AL255" s="1399"/>
      <c r="AM255" s="83"/>
    </row>
    <row r="256" spans="2:39" ht="14.1" customHeight="1" x14ac:dyDescent="0.25">
      <c r="B256" s="1398"/>
      <c r="C256" s="1450"/>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391"/>
      <c r="Y256" s="1391"/>
      <c r="Z256" s="1391"/>
      <c r="AA256" s="1391"/>
      <c r="AB256" s="1391"/>
      <c r="AC256" s="90"/>
      <c r="AD256" s="127" t="s">
        <v>854</v>
      </c>
      <c r="AE256" s="1400"/>
      <c r="AF256" s="1401"/>
      <c r="AG256" s="1401"/>
      <c r="AH256" s="1401"/>
      <c r="AI256" s="1401"/>
      <c r="AJ256" s="1401"/>
      <c r="AK256" s="1401"/>
      <c r="AL256" s="1402"/>
      <c r="AM256" s="83"/>
    </row>
    <row r="257" spans="2:39" ht="14.25" customHeight="1" x14ac:dyDescent="0.25">
      <c r="B257" s="1398"/>
      <c r="C257" s="1451"/>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391">
        <v>0</v>
      </c>
      <c r="AH257" s="1391"/>
      <c r="AI257" s="1391"/>
      <c r="AJ257" s="1391"/>
      <c r="AK257" s="1391"/>
      <c r="AL257" s="223" t="s">
        <v>854</v>
      </c>
      <c r="AM257" s="83"/>
    </row>
    <row r="258" spans="2:39" x14ac:dyDescent="0.2">
      <c r="B258" s="1398"/>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394"/>
      <c r="AF258" s="1395"/>
      <c r="AG258" s="1395"/>
      <c r="AH258" s="1395"/>
      <c r="AI258" s="1395"/>
      <c r="AJ258" s="1395"/>
      <c r="AK258" s="1395"/>
      <c r="AL258" s="1396"/>
      <c r="AM258" s="83"/>
    </row>
    <row r="259" spans="2:39" ht="24" customHeight="1" x14ac:dyDescent="0.25">
      <c r="B259" s="1398"/>
      <c r="C259" s="1449"/>
      <c r="D259" s="103" t="s">
        <v>613</v>
      </c>
      <c r="E259" s="1414" t="s">
        <v>479</v>
      </c>
      <c r="F259" s="1415"/>
      <c r="G259" s="1415"/>
      <c r="H259" s="1415"/>
      <c r="I259" s="1415"/>
      <c r="J259" s="1415"/>
      <c r="K259" s="1415"/>
      <c r="L259" s="1415"/>
      <c r="M259" s="1415"/>
      <c r="N259" s="1415"/>
      <c r="O259" s="1415"/>
      <c r="P259" s="1415"/>
      <c r="Q259" s="1415"/>
      <c r="R259" s="1415"/>
      <c r="S259" s="1415"/>
      <c r="T259" s="1415"/>
      <c r="U259" s="89"/>
      <c r="V259" s="100" t="s">
        <v>32</v>
      </c>
      <c r="W259" s="85"/>
      <c r="X259" s="1393"/>
      <c r="Y259" s="1393"/>
      <c r="Z259" s="1393"/>
      <c r="AA259" s="1393"/>
      <c r="AB259" s="1393"/>
      <c r="AC259" s="80"/>
      <c r="AD259" s="236" t="s">
        <v>854</v>
      </c>
      <c r="AE259" s="1397"/>
      <c r="AF259" s="1398"/>
      <c r="AG259" s="1398"/>
      <c r="AH259" s="1398"/>
      <c r="AI259" s="1398"/>
      <c r="AJ259" s="1398"/>
      <c r="AK259" s="1398"/>
      <c r="AL259" s="1399"/>
      <c r="AM259" s="83"/>
    </row>
    <row r="260" spans="2:39" ht="21" customHeight="1" x14ac:dyDescent="0.25">
      <c r="B260" s="1398"/>
      <c r="C260" s="1450"/>
      <c r="D260" s="100" t="s">
        <v>615</v>
      </c>
      <c r="E260" s="1414" t="s">
        <v>480</v>
      </c>
      <c r="F260" s="1415"/>
      <c r="G260" s="1415"/>
      <c r="H260" s="1415"/>
      <c r="I260" s="1415"/>
      <c r="J260" s="1415"/>
      <c r="K260" s="1415"/>
      <c r="L260" s="1415"/>
      <c r="M260" s="1415"/>
      <c r="N260" s="1415"/>
      <c r="O260" s="1415"/>
      <c r="P260" s="1415"/>
      <c r="Q260" s="1415"/>
      <c r="R260" s="1415"/>
      <c r="S260" s="1415"/>
      <c r="T260" s="1415"/>
      <c r="U260" s="89"/>
      <c r="V260" s="103" t="s">
        <v>34</v>
      </c>
      <c r="W260" s="96"/>
      <c r="X260" s="1466"/>
      <c r="Y260" s="1466"/>
      <c r="Z260" s="1466"/>
      <c r="AA260" s="1466"/>
      <c r="AB260" s="1466"/>
      <c r="AC260" s="82"/>
      <c r="AD260" s="231" t="s">
        <v>854</v>
      </c>
      <c r="AE260" s="1397"/>
      <c r="AF260" s="1398"/>
      <c r="AG260" s="1398"/>
      <c r="AH260" s="1398"/>
      <c r="AI260" s="1398"/>
      <c r="AJ260" s="1398"/>
      <c r="AK260" s="1398"/>
      <c r="AL260" s="1399"/>
      <c r="AM260" s="83"/>
    </row>
    <row r="261" spans="2:39" ht="36.75" customHeight="1" x14ac:dyDescent="0.25">
      <c r="B261" s="1398"/>
      <c r="C261" s="1450"/>
      <c r="D261" s="103" t="s">
        <v>617</v>
      </c>
      <c r="E261" s="1414" t="s">
        <v>486</v>
      </c>
      <c r="F261" s="1415"/>
      <c r="G261" s="1415"/>
      <c r="H261" s="1415"/>
      <c r="I261" s="1415"/>
      <c r="J261" s="1415"/>
      <c r="K261" s="1415"/>
      <c r="L261" s="1415"/>
      <c r="M261" s="1415"/>
      <c r="N261" s="1415"/>
      <c r="O261" s="1415"/>
      <c r="P261" s="1415"/>
      <c r="Q261" s="1415"/>
      <c r="R261" s="1415"/>
      <c r="S261" s="1415"/>
      <c r="T261" s="1415"/>
      <c r="U261" s="89"/>
      <c r="V261" s="100" t="s">
        <v>36</v>
      </c>
      <c r="W261" s="96"/>
      <c r="X261" s="1466"/>
      <c r="Y261" s="1466"/>
      <c r="Z261" s="1466"/>
      <c r="AA261" s="1466"/>
      <c r="AB261" s="1466"/>
      <c r="AC261" s="82"/>
      <c r="AD261" s="236" t="s">
        <v>854</v>
      </c>
      <c r="AE261" s="1397"/>
      <c r="AF261" s="1398"/>
      <c r="AG261" s="1398"/>
      <c r="AH261" s="1398"/>
      <c r="AI261" s="1398"/>
      <c r="AJ261" s="1398"/>
      <c r="AK261" s="1398"/>
      <c r="AL261" s="1399"/>
      <c r="AM261" s="83"/>
    </row>
    <row r="262" spans="2:39" ht="14.1" customHeight="1" x14ac:dyDescent="0.25">
      <c r="B262" s="1398"/>
      <c r="C262" s="1450"/>
      <c r="D262" s="115" t="s">
        <v>619</v>
      </c>
      <c r="E262" s="136" t="s">
        <v>487</v>
      </c>
      <c r="V262" s="148" t="s">
        <v>37</v>
      </c>
      <c r="W262" s="96"/>
      <c r="X262" s="1391"/>
      <c r="Y262" s="1391"/>
      <c r="Z262" s="1391"/>
      <c r="AA262" s="1391"/>
      <c r="AB262" s="1391"/>
      <c r="AC262" s="90"/>
      <c r="AD262" s="30" t="s">
        <v>854</v>
      </c>
      <c r="AE262" s="1397"/>
      <c r="AF262" s="1398"/>
      <c r="AG262" s="1398"/>
      <c r="AH262" s="1398"/>
      <c r="AI262" s="1398"/>
      <c r="AJ262" s="1398"/>
      <c r="AK262" s="1398"/>
      <c r="AL262" s="1399"/>
      <c r="AM262" s="83"/>
    </row>
    <row r="263" spans="2:39" ht="14.1" customHeight="1" x14ac:dyDescent="0.25">
      <c r="B263" s="1398"/>
      <c r="C263" s="1450"/>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391"/>
      <c r="Y263" s="1391"/>
      <c r="Z263" s="1391"/>
      <c r="AA263" s="1391"/>
      <c r="AB263" s="1391"/>
      <c r="AC263" s="90"/>
      <c r="AD263" s="223" t="s">
        <v>854</v>
      </c>
      <c r="AE263" s="1397"/>
      <c r="AF263" s="1398"/>
      <c r="AG263" s="1398"/>
      <c r="AH263" s="1398"/>
      <c r="AI263" s="1398"/>
      <c r="AJ263" s="1398"/>
      <c r="AK263" s="1398"/>
      <c r="AL263" s="1399"/>
      <c r="AM263" s="83"/>
    </row>
    <row r="264" spans="2:39" ht="14.1" customHeight="1" x14ac:dyDescent="0.25">
      <c r="B264" s="1398"/>
      <c r="C264" s="1450"/>
      <c r="D264" s="115" t="s">
        <v>750</v>
      </c>
      <c r="E264" s="136" t="s">
        <v>182</v>
      </c>
      <c r="V264" s="148" t="s">
        <v>215</v>
      </c>
      <c r="W264" s="85"/>
      <c r="X264" s="1393"/>
      <c r="Y264" s="1393"/>
      <c r="Z264" s="1393"/>
      <c r="AA264" s="1393"/>
      <c r="AB264" s="1393"/>
      <c r="AC264" s="80"/>
      <c r="AD264" s="30" t="s">
        <v>854</v>
      </c>
      <c r="AE264" s="1397"/>
      <c r="AF264" s="1398"/>
      <c r="AG264" s="1398"/>
      <c r="AH264" s="1398"/>
      <c r="AI264" s="1398"/>
      <c r="AJ264" s="1398"/>
      <c r="AK264" s="1398"/>
      <c r="AL264" s="1399"/>
      <c r="AM264" s="83"/>
    </row>
    <row r="265" spans="2:39" ht="14.1" customHeight="1" x14ac:dyDescent="0.25">
      <c r="B265" s="1398"/>
      <c r="C265" s="1450"/>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466"/>
      <c r="Y265" s="1466"/>
      <c r="Z265" s="1466"/>
      <c r="AA265" s="1466"/>
      <c r="AB265" s="1466"/>
      <c r="AC265" s="82"/>
      <c r="AD265" s="230" t="s">
        <v>854</v>
      </c>
      <c r="AE265" s="1397"/>
      <c r="AF265" s="1398"/>
      <c r="AG265" s="1398"/>
      <c r="AH265" s="1398"/>
      <c r="AI265" s="1398"/>
      <c r="AJ265" s="1398"/>
      <c r="AK265" s="1398"/>
      <c r="AL265" s="1399"/>
      <c r="AM265" s="83"/>
    </row>
    <row r="266" spans="2:39" ht="14.1" customHeight="1" x14ac:dyDescent="0.25">
      <c r="B266" s="1398"/>
      <c r="C266" s="1450"/>
      <c r="D266" s="115" t="s">
        <v>754</v>
      </c>
      <c r="E266" s="136" t="s">
        <v>182</v>
      </c>
      <c r="V266" s="148" t="s">
        <v>216</v>
      </c>
      <c r="W266" s="96"/>
      <c r="X266" s="1466"/>
      <c r="Y266" s="1466"/>
      <c r="Z266" s="1466"/>
      <c r="AA266" s="1466"/>
      <c r="AB266" s="1466"/>
      <c r="AC266" s="82"/>
      <c r="AD266" s="230" t="s">
        <v>854</v>
      </c>
      <c r="AE266" s="1397"/>
      <c r="AF266" s="1398"/>
      <c r="AG266" s="1398"/>
      <c r="AH266" s="1398"/>
      <c r="AI266" s="1398"/>
      <c r="AJ266" s="1398"/>
      <c r="AK266" s="1398"/>
      <c r="AL266" s="1399"/>
      <c r="AM266" s="83"/>
    </row>
    <row r="267" spans="2:39" ht="14.1" customHeight="1" x14ac:dyDescent="0.25">
      <c r="B267" s="1398"/>
      <c r="C267" s="1450"/>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391"/>
      <c r="Y267" s="1391"/>
      <c r="Z267" s="1391"/>
      <c r="AA267" s="1391"/>
      <c r="AB267" s="1391"/>
      <c r="AC267" s="90"/>
      <c r="AD267" s="223" t="s">
        <v>854</v>
      </c>
      <c r="AE267" s="1397"/>
      <c r="AF267" s="1398"/>
      <c r="AG267" s="1398"/>
      <c r="AH267" s="1398"/>
      <c r="AI267" s="1398"/>
      <c r="AJ267" s="1398"/>
      <c r="AK267" s="1398"/>
      <c r="AL267" s="1399"/>
      <c r="AM267" s="83"/>
    </row>
    <row r="268" spans="2:39" ht="14.1" customHeight="1" x14ac:dyDescent="0.25">
      <c r="B268" s="1398"/>
      <c r="C268" s="1450"/>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391"/>
      <c r="Y268" s="1391"/>
      <c r="Z268" s="1391"/>
      <c r="AA268" s="1391"/>
      <c r="AB268" s="1391"/>
      <c r="AC268" s="90"/>
      <c r="AD268" s="223" t="s">
        <v>854</v>
      </c>
      <c r="AE268" s="1397"/>
      <c r="AF268" s="1398"/>
      <c r="AG268" s="1398"/>
      <c r="AH268" s="1398"/>
      <c r="AI268" s="1398"/>
      <c r="AJ268" s="1398"/>
      <c r="AK268" s="1398"/>
      <c r="AL268" s="1399"/>
      <c r="AM268" s="83"/>
    </row>
    <row r="269" spans="2:39" ht="14.1" customHeight="1" x14ac:dyDescent="0.25">
      <c r="B269" s="1398"/>
      <c r="C269" s="1450"/>
      <c r="D269" s="115" t="s">
        <v>753</v>
      </c>
      <c r="E269" s="136" t="s">
        <v>211</v>
      </c>
      <c r="V269" s="143" t="s">
        <v>219</v>
      </c>
      <c r="W269" s="83"/>
      <c r="X269" s="1393"/>
      <c r="Y269" s="1393"/>
      <c r="Z269" s="1393"/>
      <c r="AA269" s="1393"/>
      <c r="AB269" s="1393"/>
      <c r="AC269" s="80"/>
      <c r="AD269" s="30" t="s">
        <v>854</v>
      </c>
      <c r="AE269" s="1397"/>
      <c r="AF269" s="1398"/>
      <c r="AG269" s="1398"/>
      <c r="AH269" s="1398"/>
      <c r="AI269" s="1398"/>
      <c r="AJ269" s="1398"/>
      <c r="AK269" s="1398"/>
      <c r="AL269" s="1399"/>
      <c r="AM269" s="83"/>
    </row>
    <row r="270" spans="2:39" ht="14.1" customHeight="1" x14ac:dyDescent="0.25">
      <c r="B270" s="1398"/>
      <c r="C270" s="1450"/>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466"/>
      <c r="Y270" s="1466"/>
      <c r="Z270" s="1466"/>
      <c r="AA270" s="1466"/>
      <c r="AB270" s="1466"/>
      <c r="AC270" s="82"/>
      <c r="AD270" s="230" t="s">
        <v>854</v>
      </c>
      <c r="AE270" s="1397"/>
      <c r="AF270" s="1398"/>
      <c r="AG270" s="1398"/>
      <c r="AH270" s="1398"/>
      <c r="AI270" s="1398"/>
      <c r="AJ270" s="1398"/>
      <c r="AK270" s="1398"/>
      <c r="AL270" s="1399"/>
      <c r="AM270" s="83"/>
    </row>
    <row r="271" spans="2:39" ht="25.5" customHeight="1" x14ac:dyDescent="0.25">
      <c r="B271" s="1398"/>
      <c r="C271" s="1450"/>
      <c r="D271" s="103" t="s">
        <v>755</v>
      </c>
      <c r="E271" s="1414" t="s">
        <v>184</v>
      </c>
      <c r="F271" s="1415"/>
      <c r="G271" s="1415"/>
      <c r="H271" s="1415"/>
      <c r="I271" s="1415"/>
      <c r="J271" s="1415"/>
      <c r="K271" s="1415"/>
      <c r="L271" s="1415"/>
      <c r="M271" s="1415"/>
      <c r="N271" s="1415"/>
      <c r="O271" s="1415"/>
      <c r="P271" s="1415"/>
      <c r="Q271" s="1415"/>
      <c r="R271" s="1415"/>
      <c r="S271" s="1415"/>
      <c r="T271" s="1415"/>
      <c r="V271" s="100" t="s">
        <v>220</v>
      </c>
      <c r="W271" s="85"/>
      <c r="X271" s="1466"/>
      <c r="Y271" s="1466"/>
      <c r="Z271" s="1466"/>
      <c r="AA271" s="1466"/>
      <c r="AB271" s="1466"/>
      <c r="AC271" s="82"/>
      <c r="AD271" s="235" t="s">
        <v>854</v>
      </c>
      <c r="AE271" s="1397"/>
      <c r="AF271" s="1398"/>
      <c r="AG271" s="1398"/>
      <c r="AH271" s="1398"/>
      <c r="AI271" s="1398"/>
      <c r="AJ271" s="1398"/>
      <c r="AK271" s="1398"/>
      <c r="AL271" s="1399"/>
      <c r="AM271" s="83"/>
    </row>
    <row r="272" spans="2:39" ht="60.75" customHeight="1" x14ac:dyDescent="0.25">
      <c r="B272" s="1398"/>
      <c r="C272" s="1450"/>
      <c r="D272" s="100" t="s">
        <v>810</v>
      </c>
      <c r="E272" s="1414" t="s">
        <v>186</v>
      </c>
      <c r="F272" s="1415"/>
      <c r="G272" s="1415"/>
      <c r="H272" s="1415"/>
      <c r="I272" s="1415"/>
      <c r="J272" s="1415"/>
      <c r="K272" s="1415"/>
      <c r="L272" s="1415"/>
      <c r="M272" s="1415"/>
      <c r="N272" s="1415"/>
      <c r="O272" s="1415"/>
      <c r="P272" s="1415"/>
      <c r="Q272" s="1415"/>
      <c r="R272" s="1415"/>
      <c r="S272" s="1415"/>
      <c r="T272" s="1415"/>
      <c r="U272" s="89"/>
      <c r="V272" s="103" t="s">
        <v>221</v>
      </c>
      <c r="W272" s="96"/>
      <c r="X272" s="1391"/>
      <c r="Y272" s="1391"/>
      <c r="Z272" s="1391"/>
      <c r="AA272" s="1391"/>
      <c r="AB272" s="1391"/>
      <c r="AC272" s="90"/>
      <c r="AD272" s="234" t="s">
        <v>854</v>
      </c>
      <c r="AE272" s="1397"/>
      <c r="AF272" s="1398"/>
      <c r="AG272" s="1398"/>
      <c r="AH272" s="1398"/>
      <c r="AI272" s="1398"/>
      <c r="AJ272" s="1398"/>
      <c r="AK272" s="1398"/>
      <c r="AL272" s="1399"/>
      <c r="AM272" s="83"/>
    </row>
    <row r="273" spans="2:39" ht="14.1" customHeight="1" x14ac:dyDescent="0.25">
      <c r="B273" s="1398"/>
      <c r="C273" s="1450"/>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391"/>
      <c r="Y273" s="1391"/>
      <c r="Z273" s="1391"/>
      <c r="AA273" s="1391"/>
      <c r="AB273" s="1391"/>
      <c r="AC273" s="90"/>
      <c r="AD273" s="30" t="s">
        <v>854</v>
      </c>
      <c r="AE273" s="1400"/>
      <c r="AF273" s="1401"/>
      <c r="AG273" s="1401"/>
      <c r="AH273" s="1401"/>
      <c r="AI273" s="1401"/>
      <c r="AJ273" s="1401"/>
      <c r="AK273" s="1401"/>
      <c r="AL273" s="1402"/>
      <c r="AM273" s="83"/>
    </row>
    <row r="274" spans="2:39" ht="15" customHeight="1" x14ac:dyDescent="0.25">
      <c r="B274" s="1398"/>
      <c r="C274" s="1451"/>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391">
        <v>0</v>
      </c>
      <c r="AH274" s="1391"/>
      <c r="AI274" s="1391"/>
      <c r="AJ274" s="1391"/>
      <c r="AK274" s="1391"/>
      <c r="AL274" s="223" t="s">
        <v>854</v>
      </c>
      <c r="AM274" s="83"/>
    </row>
    <row r="275" spans="2:39" ht="15" customHeight="1" x14ac:dyDescent="0.2">
      <c r="B275" s="1398"/>
      <c r="C275" s="115">
        <v>7</v>
      </c>
      <c r="D275" s="136" t="s">
        <v>188</v>
      </c>
      <c r="AE275" s="1394"/>
      <c r="AF275" s="1395"/>
      <c r="AG275" s="1395"/>
      <c r="AH275" s="1395"/>
      <c r="AI275" s="1395"/>
      <c r="AJ275" s="1395"/>
      <c r="AK275" s="1395"/>
      <c r="AL275" s="1396"/>
      <c r="AM275" s="83"/>
    </row>
    <row r="276" spans="2:39" ht="12.75" customHeight="1" x14ac:dyDescent="0.25">
      <c r="B276" s="1398"/>
      <c r="C276" s="1449"/>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391"/>
      <c r="Y276" s="1391"/>
      <c r="Z276" s="1391"/>
      <c r="AA276" s="1391"/>
      <c r="AB276" s="1391"/>
      <c r="AC276" s="90"/>
      <c r="AD276" s="127" t="s">
        <v>854</v>
      </c>
      <c r="AE276" s="1397"/>
      <c r="AF276" s="1398"/>
      <c r="AG276" s="1398"/>
      <c r="AH276" s="1398"/>
      <c r="AI276" s="1398"/>
      <c r="AJ276" s="1398"/>
      <c r="AK276" s="1398"/>
      <c r="AL276" s="1399"/>
      <c r="AM276" s="83"/>
    </row>
    <row r="277" spans="2:39" ht="33.75" customHeight="1" x14ac:dyDescent="0.25">
      <c r="B277" s="1398"/>
      <c r="C277" s="1450"/>
      <c r="D277" s="100" t="s">
        <v>615</v>
      </c>
      <c r="E277" s="1414" t="s">
        <v>189</v>
      </c>
      <c r="F277" s="1415"/>
      <c r="G277" s="1415"/>
      <c r="H277" s="1415"/>
      <c r="I277" s="1415"/>
      <c r="J277" s="1415"/>
      <c r="K277" s="1415"/>
      <c r="L277" s="1415"/>
      <c r="M277" s="1415"/>
      <c r="N277" s="1415"/>
      <c r="O277" s="1415"/>
      <c r="P277" s="1415"/>
      <c r="Q277" s="1415"/>
      <c r="R277" s="1415"/>
      <c r="S277" s="1415"/>
      <c r="T277" s="1415"/>
      <c r="V277" s="100" t="s">
        <v>616</v>
      </c>
      <c r="W277" s="85"/>
      <c r="X277" s="1393"/>
      <c r="Y277" s="1393"/>
      <c r="Z277" s="1393"/>
      <c r="AA277" s="1393"/>
      <c r="AB277" s="1393"/>
      <c r="AC277" s="80"/>
      <c r="AD277" s="260" t="s">
        <v>854</v>
      </c>
      <c r="AE277" s="1397"/>
      <c r="AF277" s="1398"/>
      <c r="AG277" s="1398"/>
      <c r="AH277" s="1398"/>
      <c r="AI277" s="1398"/>
      <c r="AJ277" s="1398"/>
      <c r="AK277" s="1398"/>
      <c r="AL277" s="1399"/>
      <c r="AM277" s="83"/>
    </row>
    <row r="278" spans="2:39" ht="25.5" customHeight="1" x14ac:dyDescent="0.25">
      <c r="B278" s="1398"/>
      <c r="C278" s="1450"/>
      <c r="D278" s="100" t="s">
        <v>617</v>
      </c>
      <c r="E278" s="1414" t="s">
        <v>190</v>
      </c>
      <c r="F278" s="1415"/>
      <c r="G278" s="1415"/>
      <c r="H278" s="1415"/>
      <c r="I278" s="1415"/>
      <c r="J278" s="1415"/>
      <c r="K278" s="1415"/>
      <c r="L278" s="1415"/>
      <c r="M278" s="1415"/>
      <c r="N278" s="1415"/>
      <c r="O278" s="1415"/>
      <c r="P278" s="1415"/>
      <c r="Q278" s="1415"/>
      <c r="R278" s="1415"/>
      <c r="S278" s="1415"/>
      <c r="T278" s="1415"/>
      <c r="U278" s="89"/>
      <c r="V278" s="100" t="s">
        <v>618</v>
      </c>
      <c r="W278" s="96"/>
      <c r="X278" s="1466"/>
      <c r="Y278" s="1466"/>
      <c r="Z278" s="1466"/>
      <c r="AA278" s="1466"/>
      <c r="AB278" s="1466"/>
      <c r="AC278" s="82"/>
      <c r="AD278" s="260" t="s">
        <v>854</v>
      </c>
      <c r="AE278" s="1397"/>
      <c r="AF278" s="1398"/>
      <c r="AG278" s="1398"/>
      <c r="AH278" s="1398"/>
      <c r="AI278" s="1398"/>
      <c r="AJ278" s="1398"/>
      <c r="AK278" s="1398"/>
      <c r="AL278" s="1399"/>
      <c r="AM278" s="83"/>
    </row>
    <row r="279" spans="2:39" ht="14.1" customHeight="1" x14ac:dyDescent="0.25">
      <c r="B279" s="1398"/>
      <c r="C279" s="1450"/>
      <c r="D279" s="115" t="s">
        <v>619</v>
      </c>
      <c r="E279" s="136" t="s">
        <v>223</v>
      </c>
      <c r="V279" s="148" t="s">
        <v>725</v>
      </c>
      <c r="W279" s="96"/>
      <c r="X279" s="1466"/>
      <c r="Y279" s="1466"/>
      <c r="Z279" s="1466"/>
      <c r="AA279" s="1466"/>
      <c r="AB279" s="1466"/>
      <c r="AC279" s="82"/>
      <c r="AD279" s="127" t="s">
        <v>854</v>
      </c>
      <c r="AE279" s="1397"/>
      <c r="AF279" s="1398"/>
      <c r="AG279" s="1398"/>
      <c r="AH279" s="1398"/>
      <c r="AI279" s="1398"/>
      <c r="AJ279" s="1398"/>
      <c r="AK279" s="1398"/>
      <c r="AL279" s="1399"/>
      <c r="AM279" s="83"/>
    </row>
    <row r="280" spans="2:39" ht="24.75" customHeight="1" x14ac:dyDescent="0.25">
      <c r="B280" s="1398"/>
      <c r="C280" s="1450"/>
      <c r="D280" s="100" t="s">
        <v>726</v>
      </c>
      <c r="E280" s="1414" t="s">
        <v>191</v>
      </c>
      <c r="F280" s="1415"/>
      <c r="G280" s="1415"/>
      <c r="H280" s="1415"/>
      <c r="I280" s="1415"/>
      <c r="J280" s="1415"/>
      <c r="K280" s="1415"/>
      <c r="L280" s="1415"/>
      <c r="M280" s="1415"/>
      <c r="N280" s="1415"/>
      <c r="O280" s="1415"/>
      <c r="P280" s="1415"/>
      <c r="Q280" s="1415"/>
      <c r="R280" s="1415"/>
      <c r="S280" s="1415"/>
      <c r="T280" s="1415"/>
      <c r="U280" s="89"/>
      <c r="V280" s="100" t="s">
        <v>727</v>
      </c>
      <c r="W280" s="96"/>
      <c r="X280" s="1391"/>
      <c r="Y280" s="1391"/>
      <c r="Z280" s="1391"/>
      <c r="AA280" s="1391"/>
      <c r="AB280" s="1391"/>
      <c r="AC280" s="90"/>
      <c r="AD280" s="260" t="s">
        <v>854</v>
      </c>
      <c r="AE280" s="1397"/>
      <c r="AF280" s="1398"/>
      <c r="AG280" s="1398"/>
      <c r="AH280" s="1398"/>
      <c r="AI280" s="1398"/>
      <c r="AJ280" s="1398"/>
      <c r="AK280" s="1398"/>
      <c r="AL280" s="1399"/>
      <c r="AM280" s="83"/>
    </row>
    <row r="281" spans="2:39" ht="14.1" customHeight="1" x14ac:dyDescent="0.25">
      <c r="B281" s="1398"/>
      <c r="C281" s="1450"/>
      <c r="D281" s="115" t="s">
        <v>750</v>
      </c>
      <c r="E281" s="136" t="s">
        <v>224</v>
      </c>
      <c r="V281" s="148" t="s">
        <v>226</v>
      </c>
      <c r="W281" s="96"/>
      <c r="X281" s="1391"/>
      <c r="Y281" s="1391"/>
      <c r="Z281" s="1391"/>
      <c r="AA281" s="1391"/>
      <c r="AB281" s="1391"/>
      <c r="AC281" s="90"/>
      <c r="AD281" s="127" t="s">
        <v>854</v>
      </c>
      <c r="AE281" s="1397"/>
      <c r="AF281" s="1398"/>
      <c r="AG281" s="1398"/>
      <c r="AH281" s="1398"/>
      <c r="AI281" s="1398"/>
      <c r="AJ281" s="1398"/>
      <c r="AK281" s="1398"/>
      <c r="AL281" s="1399"/>
      <c r="AM281" s="83"/>
    </row>
    <row r="282" spans="2:39" ht="26.25" customHeight="1" x14ac:dyDescent="0.25">
      <c r="B282" s="1398"/>
      <c r="C282" s="1450"/>
      <c r="D282" s="100" t="s">
        <v>752</v>
      </c>
      <c r="E282" s="1414" t="s">
        <v>192</v>
      </c>
      <c r="F282" s="1415"/>
      <c r="G282" s="1415"/>
      <c r="H282" s="1415"/>
      <c r="I282" s="1415"/>
      <c r="J282" s="1415"/>
      <c r="K282" s="1415"/>
      <c r="L282" s="1415"/>
      <c r="M282" s="1415"/>
      <c r="N282" s="1415"/>
      <c r="O282" s="1415"/>
      <c r="P282" s="1415"/>
      <c r="Q282" s="1415"/>
      <c r="R282" s="1415"/>
      <c r="S282" s="1415"/>
      <c r="T282" s="1415"/>
      <c r="U282" s="89"/>
      <c r="V282" s="100" t="s">
        <v>227</v>
      </c>
      <c r="W282" s="96"/>
      <c r="X282" s="1391"/>
      <c r="Y282" s="1391"/>
      <c r="Z282" s="1391"/>
      <c r="AA282" s="1391"/>
      <c r="AB282" s="1391"/>
      <c r="AC282" s="90"/>
      <c r="AD282" s="260" t="s">
        <v>854</v>
      </c>
      <c r="AE282" s="1397"/>
      <c r="AF282" s="1398"/>
      <c r="AG282" s="1398"/>
      <c r="AH282" s="1398"/>
      <c r="AI282" s="1398"/>
      <c r="AJ282" s="1398"/>
      <c r="AK282" s="1398"/>
      <c r="AL282" s="1399"/>
      <c r="AM282" s="83"/>
    </row>
    <row r="283" spans="2:39" ht="14.1" customHeight="1" x14ac:dyDescent="0.25">
      <c r="B283" s="1398"/>
      <c r="C283" s="1450"/>
      <c r="D283" s="115" t="s">
        <v>754</v>
      </c>
      <c r="E283" s="136" t="s">
        <v>225</v>
      </c>
      <c r="V283" s="148" t="s">
        <v>228</v>
      </c>
      <c r="W283" s="96"/>
      <c r="X283" s="1391"/>
      <c r="Y283" s="1391"/>
      <c r="Z283" s="1391"/>
      <c r="AA283" s="1391"/>
      <c r="AB283" s="1391"/>
      <c r="AC283" s="90"/>
      <c r="AD283" s="127" t="s">
        <v>854</v>
      </c>
      <c r="AE283" s="1400"/>
      <c r="AF283" s="1401"/>
      <c r="AG283" s="1401"/>
      <c r="AH283" s="1401"/>
      <c r="AI283" s="1401"/>
      <c r="AJ283" s="1401"/>
      <c r="AK283" s="1401"/>
      <c r="AL283" s="1402"/>
      <c r="AM283" s="83"/>
    </row>
    <row r="284" spans="2:39" ht="14.25" customHeight="1" x14ac:dyDescent="0.25">
      <c r="B284" s="1398"/>
      <c r="C284" s="1451"/>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391">
        <v>0</v>
      </c>
      <c r="AH284" s="1391"/>
      <c r="AI284" s="1391"/>
      <c r="AJ284" s="1391"/>
      <c r="AK284" s="1391"/>
      <c r="AL284" s="223" t="s">
        <v>854</v>
      </c>
      <c r="AM284" s="83"/>
    </row>
    <row r="285" spans="2:39" ht="16.5" customHeight="1" x14ac:dyDescent="0.2">
      <c r="B285" s="1398"/>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394"/>
      <c r="AF285" s="1395"/>
      <c r="AG285" s="1395"/>
      <c r="AH285" s="1395"/>
      <c r="AI285" s="1395"/>
      <c r="AJ285" s="1395"/>
      <c r="AK285" s="1395"/>
      <c r="AL285" s="1396"/>
      <c r="AM285" s="83"/>
    </row>
    <row r="286" spans="2:39" ht="39.75" customHeight="1" x14ac:dyDescent="0.25">
      <c r="B286" s="1398"/>
      <c r="C286" s="1449"/>
      <c r="D286" s="1396"/>
      <c r="E286" s="100" t="s">
        <v>613</v>
      </c>
      <c r="F286" s="1414" t="s">
        <v>194</v>
      </c>
      <c r="G286" s="1415"/>
      <c r="H286" s="1415"/>
      <c r="I286" s="1415"/>
      <c r="J286" s="1415"/>
      <c r="K286" s="1415"/>
      <c r="L286" s="1415"/>
      <c r="M286" s="1415"/>
      <c r="N286" s="1415"/>
      <c r="O286" s="1415"/>
      <c r="P286" s="1415"/>
      <c r="Q286" s="1415"/>
      <c r="R286" s="1415"/>
      <c r="S286" s="1415"/>
      <c r="T286" s="1415"/>
      <c r="U286" s="1415"/>
      <c r="V286" s="100" t="s">
        <v>233</v>
      </c>
      <c r="W286" s="96"/>
      <c r="X286" s="1391"/>
      <c r="Y286" s="1391"/>
      <c r="Z286" s="1391"/>
      <c r="AA286" s="1391"/>
      <c r="AB286" s="1391"/>
      <c r="AC286" s="90"/>
      <c r="AD286" s="234" t="s">
        <v>854</v>
      </c>
      <c r="AE286" s="1397"/>
      <c r="AF286" s="1398"/>
      <c r="AG286" s="1398"/>
      <c r="AH286" s="1398"/>
      <c r="AI286" s="1398"/>
      <c r="AJ286" s="1398"/>
      <c r="AK286" s="1398"/>
      <c r="AL286" s="1399"/>
      <c r="AM286" s="83"/>
    </row>
    <row r="287" spans="2:39" ht="14.1" customHeight="1" x14ac:dyDescent="0.25">
      <c r="B287" s="1398"/>
      <c r="C287" s="1450"/>
      <c r="D287" s="1399"/>
      <c r="E287" s="115" t="s">
        <v>615</v>
      </c>
      <c r="F287" s="138" t="s">
        <v>231</v>
      </c>
      <c r="G287" s="90"/>
      <c r="H287" s="90"/>
      <c r="I287" s="90"/>
      <c r="J287" s="90"/>
      <c r="K287" s="90"/>
      <c r="L287" s="90"/>
      <c r="M287" s="90"/>
      <c r="N287" s="90"/>
      <c r="O287" s="90"/>
      <c r="P287" s="90"/>
      <c r="Q287" s="90"/>
      <c r="R287" s="90"/>
      <c r="S287" s="90"/>
      <c r="T287" s="90"/>
      <c r="U287" s="89"/>
      <c r="V287" s="115" t="s">
        <v>234</v>
      </c>
      <c r="W287" s="96"/>
      <c r="X287" s="1391"/>
      <c r="Y287" s="1391"/>
      <c r="Z287" s="1391"/>
      <c r="AA287" s="1391"/>
      <c r="AB287" s="1391"/>
      <c r="AC287" s="90"/>
      <c r="AD287" s="126" t="s">
        <v>854</v>
      </c>
      <c r="AE287" s="1397"/>
      <c r="AF287" s="1398"/>
      <c r="AG287" s="1398"/>
      <c r="AH287" s="1398"/>
      <c r="AI287" s="1398"/>
      <c r="AJ287" s="1398"/>
      <c r="AK287" s="1398"/>
      <c r="AL287" s="1399"/>
      <c r="AM287" s="83"/>
    </row>
    <row r="288" spans="2:39" ht="14.1" customHeight="1" x14ac:dyDescent="0.25">
      <c r="B288" s="1398"/>
      <c r="C288" s="1450"/>
      <c r="D288" s="1399"/>
      <c r="E288" s="115" t="s">
        <v>617</v>
      </c>
      <c r="F288" s="138" t="s">
        <v>232</v>
      </c>
      <c r="G288" s="90"/>
      <c r="H288" s="90"/>
      <c r="I288" s="90"/>
      <c r="J288" s="90"/>
      <c r="K288" s="90"/>
      <c r="L288" s="90"/>
      <c r="M288" s="90"/>
      <c r="N288" s="90"/>
      <c r="O288" s="90"/>
      <c r="P288" s="90"/>
      <c r="Q288" s="90"/>
      <c r="R288" s="90"/>
      <c r="S288" s="90"/>
      <c r="T288" s="90"/>
      <c r="U288" s="89"/>
      <c r="V288" s="115" t="s">
        <v>235</v>
      </c>
      <c r="W288" s="96"/>
      <c r="X288" s="1391"/>
      <c r="Y288" s="1391"/>
      <c r="Z288" s="1391"/>
      <c r="AA288" s="1391"/>
      <c r="AB288" s="1391"/>
      <c r="AC288" s="90"/>
      <c r="AD288" s="127" t="s">
        <v>854</v>
      </c>
      <c r="AE288" s="1397"/>
      <c r="AF288" s="1398"/>
      <c r="AG288" s="1398"/>
      <c r="AH288" s="1398"/>
      <c r="AI288" s="1398"/>
      <c r="AJ288" s="1398"/>
      <c r="AK288" s="1398"/>
      <c r="AL288" s="1399"/>
      <c r="AM288" s="83"/>
    </row>
    <row r="289" spans="2:39" ht="14.1" customHeight="1" x14ac:dyDescent="0.25">
      <c r="B289" s="1401"/>
      <c r="C289" s="1451"/>
      <c r="D289" s="1402"/>
      <c r="E289" s="115" t="s">
        <v>619</v>
      </c>
      <c r="F289" s="171" t="s">
        <v>193</v>
      </c>
      <c r="G289" s="80"/>
      <c r="H289" s="80"/>
      <c r="I289" s="80"/>
      <c r="J289" s="80"/>
      <c r="K289" s="80"/>
      <c r="L289" s="80"/>
      <c r="M289" s="80"/>
      <c r="N289" s="80"/>
      <c r="O289" s="80"/>
      <c r="P289" s="80"/>
      <c r="Q289" s="80"/>
      <c r="R289" s="80"/>
      <c r="S289" s="80"/>
      <c r="T289" s="80"/>
      <c r="U289" s="80"/>
      <c r="V289" s="115" t="s">
        <v>236</v>
      </c>
      <c r="W289" s="96"/>
      <c r="X289" s="1391"/>
      <c r="Y289" s="1391"/>
      <c r="Z289" s="1391"/>
      <c r="AA289" s="1391"/>
      <c r="AB289" s="1391"/>
      <c r="AC289" s="90"/>
      <c r="AD289" s="127" t="s">
        <v>854</v>
      </c>
      <c r="AE289" s="1400"/>
      <c r="AF289" s="1401"/>
      <c r="AG289" s="1401"/>
      <c r="AH289" s="1401"/>
      <c r="AI289" s="1401"/>
      <c r="AJ289" s="1401"/>
      <c r="AK289" s="1401"/>
      <c r="AL289" s="1402"/>
      <c r="AM289" s="83"/>
    </row>
    <row r="290" spans="2:39" ht="15" customHeight="1" x14ac:dyDescent="0.2">
      <c r="AE290" s="125" t="s">
        <v>492</v>
      </c>
      <c r="AF290" s="1403" t="s">
        <v>907</v>
      </c>
      <c r="AG290" s="1403"/>
      <c r="AH290" s="1403"/>
      <c r="AI290" s="1403"/>
      <c r="AJ290" s="132" t="s">
        <v>845</v>
      </c>
      <c r="AK290" s="131"/>
      <c r="AL290" s="133">
        <v>9.06</v>
      </c>
    </row>
    <row r="291" spans="2:39" ht="14.1" customHeight="1" x14ac:dyDescent="0.25">
      <c r="B291" s="1396"/>
      <c r="C291" s="1449"/>
      <c r="D291" s="1449"/>
      <c r="E291" s="115" t="s">
        <v>726</v>
      </c>
      <c r="F291" s="140" t="s">
        <v>195</v>
      </c>
      <c r="G291" s="90"/>
      <c r="H291" s="90"/>
      <c r="I291" s="90"/>
      <c r="J291" s="90"/>
      <c r="K291" s="90"/>
      <c r="L291" s="90"/>
      <c r="M291" s="90"/>
      <c r="N291" s="90"/>
      <c r="O291" s="90"/>
      <c r="P291" s="90"/>
      <c r="Q291" s="90"/>
      <c r="R291" s="90"/>
      <c r="S291" s="90"/>
      <c r="T291" s="90"/>
      <c r="U291" s="90"/>
      <c r="V291" s="148" t="s">
        <v>237</v>
      </c>
      <c r="W291" s="96"/>
      <c r="X291" s="1391"/>
      <c r="Y291" s="1391"/>
      <c r="Z291" s="1391"/>
      <c r="AA291" s="1391"/>
      <c r="AB291" s="1391"/>
      <c r="AC291" s="90"/>
      <c r="AD291" s="127" t="s">
        <v>854</v>
      </c>
      <c r="AE291" s="1394"/>
      <c r="AF291" s="1395"/>
      <c r="AG291" s="1395"/>
      <c r="AH291" s="1395"/>
      <c r="AI291" s="1395"/>
      <c r="AJ291" s="1395"/>
      <c r="AK291" s="1395"/>
      <c r="AL291" s="1396"/>
    </row>
    <row r="292" spans="2:39" ht="24.75" customHeight="1" x14ac:dyDescent="0.25">
      <c r="B292" s="1399"/>
      <c r="C292" s="1450"/>
      <c r="D292" s="1450"/>
      <c r="E292" s="100" t="s">
        <v>750</v>
      </c>
      <c r="F292" s="1494" t="s">
        <v>196</v>
      </c>
      <c r="G292" s="1495"/>
      <c r="H292" s="1495"/>
      <c r="I292" s="1495"/>
      <c r="J292" s="1495"/>
      <c r="K292" s="1495"/>
      <c r="L292" s="1495"/>
      <c r="M292" s="1495"/>
      <c r="N292" s="1495"/>
      <c r="O292" s="1495"/>
      <c r="P292" s="1495"/>
      <c r="Q292" s="1495"/>
      <c r="R292" s="1495"/>
      <c r="S292" s="1495"/>
      <c r="T292" s="1495"/>
      <c r="U292" s="89"/>
      <c r="V292" s="157" t="s">
        <v>238</v>
      </c>
      <c r="W292" s="96"/>
      <c r="X292" s="1391"/>
      <c r="Y292" s="1391"/>
      <c r="Z292" s="1391"/>
      <c r="AA292" s="1391"/>
      <c r="AB292" s="1391"/>
      <c r="AC292" s="90"/>
      <c r="AD292" s="234" t="s">
        <v>854</v>
      </c>
      <c r="AE292" s="1397"/>
      <c r="AF292" s="1398"/>
      <c r="AG292" s="1398"/>
      <c r="AH292" s="1398"/>
      <c r="AI292" s="1398"/>
      <c r="AJ292" s="1398"/>
      <c r="AK292" s="1398"/>
      <c r="AL292" s="1399"/>
    </row>
    <row r="293" spans="2:39" ht="14.1" customHeight="1" x14ac:dyDescent="0.25">
      <c r="B293" s="1399"/>
      <c r="C293" s="1450"/>
      <c r="D293" s="1450"/>
      <c r="E293" s="115" t="s">
        <v>752</v>
      </c>
      <c r="F293" s="140" t="s">
        <v>213</v>
      </c>
      <c r="G293" s="90"/>
      <c r="H293" s="90"/>
      <c r="I293" s="90"/>
      <c r="J293" s="90"/>
      <c r="K293" s="90"/>
      <c r="L293" s="90"/>
      <c r="M293" s="90"/>
      <c r="N293" s="90"/>
      <c r="O293" s="90"/>
      <c r="P293" s="90"/>
      <c r="Q293" s="90"/>
      <c r="R293" s="90"/>
      <c r="S293" s="90"/>
      <c r="T293" s="90"/>
      <c r="U293" s="89"/>
      <c r="V293" s="148" t="s">
        <v>239</v>
      </c>
      <c r="W293" s="96"/>
      <c r="X293" s="1391"/>
      <c r="Y293" s="1391"/>
      <c r="Z293" s="1391"/>
      <c r="AA293" s="1391"/>
      <c r="AB293" s="1391"/>
      <c r="AC293" s="90"/>
      <c r="AD293" s="127" t="s">
        <v>854</v>
      </c>
      <c r="AE293" s="1400"/>
      <c r="AF293" s="1401"/>
      <c r="AG293" s="1401"/>
      <c r="AH293" s="1401"/>
      <c r="AI293" s="1401"/>
      <c r="AJ293" s="1401"/>
      <c r="AK293" s="1401"/>
      <c r="AL293" s="1402"/>
    </row>
    <row r="294" spans="2:39" ht="12" x14ac:dyDescent="0.25">
      <c r="B294" s="1399"/>
      <c r="C294" s="1450"/>
      <c r="D294" s="1451"/>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391">
        <v>0</v>
      </c>
      <c r="AH294" s="1391"/>
      <c r="AI294" s="1391"/>
      <c r="AJ294" s="1391"/>
      <c r="AK294" s="1391"/>
      <c r="AL294" s="223" t="s">
        <v>854</v>
      </c>
      <c r="AM294" s="83"/>
    </row>
    <row r="295" spans="2:39" ht="24" customHeight="1" x14ac:dyDescent="0.25">
      <c r="B295" s="1399"/>
      <c r="C295" s="1451"/>
      <c r="D295" s="81" t="s">
        <v>797</v>
      </c>
      <c r="E295" s="1414" t="s">
        <v>241</v>
      </c>
      <c r="F295" s="1415"/>
      <c r="G295" s="1415"/>
      <c r="H295" s="1415"/>
      <c r="I295" s="1415"/>
      <c r="J295" s="1415"/>
      <c r="K295" s="1415"/>
      <c r="L295" s="1415"/>
      <c r="M295" s="1415"/>
      <c r="N295" s="1415"/>
      <c r="O295" s="1415"/>
      <c r="P295" s="1415"/>
      <c r="Q295" s="1415"/>
      <c r="R295" s="1415"/>
      <c r="S295" s="1415"/>
      <c r="T295" s="1415"/>
      <c r="U295" s="1415"/>
      <c r="V295" s="1415"/>
      <c r="W295" s="1415"/>
      <c r="X295" s="1415"/>
      <c r="Y295" s="1415"/>
      <c r="Z295" s="1415"/>
      <c r="AA295" s="1415"/>
      <c r="AB295" s="1415"/>
      <c r="AC295" s="82"/>
      <c r="AD295" s="81"/>
      <c r="AE295" s="142" t="s">
        <v>198</v>
      </c>
      <c r="AF295" s="120"/>
      <c r="AG295" s="1391"/>
      <c r="AH295" s="1391"/>
      <c r="AI295" s="1391"/>
      <c r="AJ295" s="1391"/>
      <c r="AK295" s="1391"/>
      <c r="AL295" s="223" t="s">
        <v>854</v>
      </c>
      <c r="AM295" s="83"/>
    </row>
    <row r="296" spans="2:39" x14ac:dyDescent="0.2">
      <c r="B296" s="1399"/>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394"/>
      <c r="AF296" s="1395"/>
      <c r="AG296" s="1395"/>
      <c r="AH296" s="1395"/>
      <c r="AI296" s="1395"/>
      <c r="AJ296" s="1395"/>
      <c r="AK296" s="1395"/>
      <c r="AL296" s="1396"/>
      <c r="AM296" s="83"/>
    </row>
    <row r="297" spans="2:39" ht="14.1" customHeight="1" x14ac:dyDescent="0.25">
      <c r="B297" s="1399"/>
      <c r="C297" s="1449"/>
      <c r="D297" s="109" t="s">
        <v>613</v>
      </c>
      <c r="E297" s="1412" t="s">
        <v>242</v>
      </c>
      <c r="F297" s="1413"/>
      <c r="G297" s="1413"/>
      <c r="H297" s="1413"/>
      <c r="I297" s="1413"/>
      <c r="J297" s="1413"/>
      <c r="K297" s="1413"/>
      <c r="L297" s="1413"/>
      <c r="M297" s="1413"/>
      <c r="N297" s="1413"/>
      <c r="O297" s="1413"/>
      <c r="P297" s="1413"/>
      <c r="Q297" s="1413"/>
      <c r="R297" s="1413"/>
      <c r="S297" s="1413"/>
      <c r="T297" s="1413"/>
      <c r="U297" s="90"/>
      <c r="V297" s="115" t="s">
        <v>756</v>
      </c>
      <c r="W297" s="96"/>
      <c r="X297" s="1391"/>
      <c r="Y297" s="1391"/>
      <c r="Z297" s="1391"/>
      <c r="AA297" s="1391"/>
      <c r="AB297" s="1391"/>
      <c r="AC297" s="90"/>
      <c r="AD297" s="127" t="s">
        <v>854</v>
      </c>
      <c r="AE297" s="1397"/>
      <c r="AF297" s="1398"/>
      <c r="AG297" s="1398"/>
      <c r="AH297" s="1398"/>
      <c r="AI297" s="1398"/>
      <c r="AJ297" s="1398"/>
      <c r="AK297" s="1398"/>
      <c r="AL297" s="1399"/>
      <c r="AM297" s="83"/>
    </row>
    <row r="298" spans="2:39" ht="37.5" customHeight="1" x14ac:dyDescent="0.2">
      <c r="B298" s="1399"/>
      <c r="C298" s="1450"/>
      <c r="D298" s="100" t="s">
        <v>615</v>
      </c>
      <c r="E298" s="1414" t="s">
        <v>243</v>
      </c>
      <c r="F298" s="1415"/>
      <c r="G298" s="1415"/>
      <c r="H298" s="1415"/>
      <c r="I298" s="1415"/>
      <c r="J298" s="1415"/>
      <c r="K298" s="1415"/>
      <c r="L298" s="1415"/>
      <c r="M298" s="1415"/>
      <c r="N298" s="1415"/>
      <c r="O298" s="1415"/>
      <c r="P298" s="1415"/>
      <c r="Q298" s="1415"/>
      <c r="R298" s="1415"/>
      <c r="S298" s="1415"/>
      <c r="T298" s="1415"/>
      <c r="U298" s="90"/>
      <c r="V298" s="100" t="s">
        <v>757</v>
      </c>
      <c r="W298" s="90"/>
      <c r="X298" s="1390"/>
      <c r="Y298" s="1390"/>
      <c r="Z298" s="1390"/>
      <c r="AA298" s="1390"/>
      <c r="AB298" s="1390"/>
      <c r="AC298" s="90"/>
      <c r="AD298" s="234" t="s">
        <v>854</v>
      </c>
      <c r="AE298" s="1397"/>
      <c r="AF298" s="1398"/>
      <c r="AG298" s="1398"/>
      <c r="AH298" s="1398"/>
      <c r="AI298" s="1398"/>
      <c r="AJ298" s="1398"/>
      <c r="AK298" s="1398"/>
      <c r="AL298" s="1399"/>
      <c r="AM298" s="83"/>
    </row>
    <row r="299" spans="2:39" ht="14.1" customHeight="1" x14ac:dyDescent="0.25">
      <c r="B299" s="1399"/>
      <c r="C299" s="1450"/>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391"/>
      <c r="Y299" s="1391"/>
      <c r="Z299" s="1391"/>
      <c r="AA299" s="1391"/>
      <c r="AB299" s="1391"/>
      <c r="AC299" s="90"/>
      <c r="AD299" s="127" t="s">
        <v>854</v>
      </c>
      <c r="AE299" s="1397"/>
      <c r="AF299" s="1398"/>
      <c r="AG299" s="1398"/>
      <c r="AH299" s="1398"/>
      <c r="AI299" s="1398"/>
      <c r="AJ299" s="1398"/>
      <c r="AK299" s="1398"/>
      <c r="AL299" s="1399"/>
      <c r="AM299" s="83"/>
    </row>
    <row r="300" spans="2:39" ht="50.25" customHeight="1" x14ac:dyDescent="0.2">
      <c r="B300" s="1399"/>
      <c r="C300" s="1450"/>
      <c r="D300" s="100" t="s">
        <v>615</v>
      </c>
      <c r="E300" s="1414" t="s">
        <v>245</v>
      </c>
      <c r="F300" s="1415"/>
      <c r="G300" s="1415"/>
      <c r="H300" s="1415"/>
      <c r="I300" s="1415"/>
      <c r="J300" s="1415"/>
      <c r="K300" s="1415"/>
      <c r="L300" s="1415"/>
      <c r="M300" s="1415"/>
      <c r="N300" s="1415"/>
      <c r="O300" s="1415"/>
      <c r="P300" s="1415"/>
      <c r="Q300" s="1415"/>
      <c r="R300" s="1415"/>
      <c r="S300" s="1415"/>
      <c r="T300" s="1415"/>
      <c r="U300" s="90"/>
      <c r="V300" s="100" t="s">
        <v>759</v>
      </c>
      <c r="W300" s="90"/>
      <c r="X300" s="1390"/>
      <c r="Y300" s="1390"/>
      <c r="Z300" s="1390"/>
      <c r="AA300" s="1390"/>
      <c r="AB300" s="1390"/>
      <c r="AC300" s="90"/>
      <c r="AD300" s="234" t="s">
        <v>854</v>
      </c>
      <c r="AE300" s="1397"/>
      <c r="AF300" s="1398"/>
      <c r="AG300" s="1398"/>
      <c r="AH300" s="1398"/>
      <c r="AI300" s="1398"/>
      <c r="AJ300" s="1398"/>
      <c r="AK300" s="1398"/>
      <c r="AL300" s="1399"/>
      <c r="AM300" s="83"/>
    </row>
    <row r="301" spans="2:39" ht="14.1" customHeight="1" x14ac:dyDescent="0.25">
      <c r="B301" s="1399"/>
      <c r="C301" s="1450"/>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391"/>
      <c r="Y301" s="1391"/>
      <c r="Z301" s="1391"/>
      <c r="AA301" s="1391"/>
      <c r="AB301" s="1391"/>
      <c r="AC301" s="90"/>
      <c r="AD301" s="127" t="s">
        <v>854</v>
      </c>
      <c r="AE301" s="1400"/>
      <c r="AF301" s="1401"/>
      <c r="AG301" s="1401"/>
      <c r="AH301" s="1401"/>
      <c r="AI301" s="1401"/>
      <c r="AJ301" s="1401"/>
      <c r="AK301" s="1401"/>
      <c r="AL301" s="1402"/>
      <c r="AM301" s="83"/>
    </row>
    <row r="302" spans="2:39" ht="14.1" customHeight="1" x14ac:dyDescent="0.25">
      <c r="B302" s="1399"/>
      <c r="C302" s="1451"/>
      <c r="D302" s="115" t="s">
        <v>750</v>
      </c>
      <c r="E302" s="1431" t="s">
        <v>246</v>
      </c>
      <c r="F302" s="1432"/>
      <c r="G302" s="1432"/>
      <c r="H302" s="1432"/>
      <c r="I302" s="1432"/>
      <c r="J302" s="1432"/>
      <c r="K302" s="1432"/>
      <c r="L302" s="1432"/>
      <c r="M302" s="1432"/>
      <c r="N302" s="1432"/>
      <c r="O302" s="1432"/>
      <c r="P302" s="1432"/>
      <c r="Q302" s="1432"/>
      <c r="R302" s="1432"/>
      <c r="S302" s="1432"/>
      <c r="T302" s="1432"/>
      <c r="U302" s="1432"/>
      <c r="V302" s="1432"/>
      <c r="W302" s="1432"/>
      <c r="X302" s="1432"/>
      <c r="Y302" s="1432"/>
      <c r="Z302" s="1432"/>
      <c r="AA302" s="1432"/>
      <c r="AB302" s="1432"/>
      <c r="AC302" s="1432"/>
      <c r="AD302" s="1433"/>
      <c r="AE302" s="115" t="s">
        <v>247</v>
      </c>
      <c r="AF302" s="91"/>
      <c r="AG302" s="1391">
        <v>0</v>
      </c>
      <c r="AH302" s="1391"/>
      <c r="AI302" s="1391"/>
      <c r="AJ302" s="1391"/>
      <c r="AK302" s="1391"/>
      <c r="AL302" s="223" t="s">
        <v>854</v>
      </c>
      <c r="AM302" s="83"/>
    </row>
    <row r="303" spans="2:39" ht="26.25" customHeight="1" x14ac:dyDescent="0.2">
      <c r="B303" s="1399"/>
      <c r="C303" s="97">
        <v>10</v>
      </c>
      <c r="D303" s="1555" t="s">
        <v>248</v>
      </c>
      <c r="E303" s="1556"/>
      <c r="F303" s="1556"/>
      <c r="G303" s="1556"/>
      <c r="H303" s="1556"/>
      <c r="I303" s="1556"/>
      <c r="J303" s="1556"/>
      <c r="K303" s="1556"/>
      <c r="L303" s="1556"/>
      <c r="M303" s="1556"/>
      <c r="N303" s="1556"/>
      <c r="O303" s="1556"/>
      <c r="P303" s="1556"/>
      <c r="Q303" s="1556"/>
      <c r="R303" s="1556"/>
      <c r="S303" s="1556"/>
      <c r="T303" s="1556"/>
      <c r="U303" s="1556"/>
      <c r="V303" s="1556"/>
      <c r="W303" s="1556"/>
      <c r="X303" s="1556"/>
      <c r="Y303" s="1556"/>
      <c r="Z303" s="1556"/>
      <c r="AA303" s="1556"/>
      <c r="AB303" s="1556"/>
      <c r="AC303" s="90"/>
      <c r="AD303" s="90"/>
      <c r="AE303" s="1394"/>
      <c r="AF303" s="1395"/>
      <c r="AG303" s="1395"/>
      <c r="AH303" s="1395"/>
      <c r="AI303" s="1395"/>
      <c r="AJ303" s="1395"/>
      <c r="AK303" s="1395"/>
      <c r="AL303" s="1396"/>
      <c r="AM303" s="83"/>
    </row>
    <row r="304" spans="2:39" ht="23.25" customHeight="1" x14ac:dyDescent="0.2">
      <c r="B304" s="1399"/>
      <c r="C304" s="1449"/>
      <c r="D304" s="100" t="s">
        <v>613</v>
      </c>
      <c r="E304" s="1414" t="s">
        <v>249</v>
      </c>
      <c r="F304" s="1415"/>
      <c r="G304" s="1415"/>
      <c r="H304" s="1415"/>
      <c r="I304" s="1415"/>
      <c r="J304" s="1415"/>
      <c r="K304" s="1415"/>
      <c r="L304" s="1415"/>
      <c r="M304" s="1415"/>
      <c r="N304" s="1415"/>
      <c r="O304" s="1415"/>
      <c r="P304" s="1415"/>
      <c r="Q304" s="1415"/>
      <c r="R304" s="1415"/>
      <c r="S304" s="1415"/>
      <c r="T304" s="1415"/>
      <c r="V304" s="100" t="s">
        <v>830</v>
      </c>
      <c r="W304" s="90"/>
      <c r="X304" s="1390"/>
      <c r="Y304" s="1390"/>
      <c r="Z304" s="1390"/>
      <c r="AA304" s="1390"/>
      <c r="AB304" s="1390"/>
      <c r="AC304" s="90"/>
      <c r="AD304" s="234" t="s">
        <v>854</v>
      </c>
      <c r="AE304" s="1397"/>
      <c r="AF304" s="1398"/>
      <c r="AG304" s="1398"/>
      <c r="AH304" s="1398"/>
      <c r="AI304" s="1398"/>
      <c r="AJ304" s="1398"/>
      <c r="AK304" s="1398"/>
      <c r="AL304" s="1399"/>
      <c r="AM304" s="83"/>
    </row>
    <row r="305" spans="2:39" ht="38.25" customHeight="1" x14ac:dyDescent="0.2">
      <c r="B305" s="1399"/>
      <c r="C305" s="1450"/>
      <c r="D305" s="100" t="s">
        <v>615</v>
      </c>
      <c r="E305" s="1414" t="s">
        <v>250</v>
      </c>
      <c r="F305" s="1415"/>
      <c r="G305" s="1415"/>
      <c r="H305" s="1415"/>
      <c r="I305" s="1415"/>
      <c r="J305" s="1415"/>
      <c r="K305" s="1415"/>
      <c r="L305" s="1415"/>
      <c r="M305" s="1415"/>
      <c r="N305" s="1415"/>
      <c r="O305" s="1415"/>
      <c r="P305" s="1415"/>
      <c r="Q305" s="1415"/>
      <c r="R305" s="1415"/>
      <c r="S305" s="1415"/>
      <c r="T305" s="1415"/>
      <c r="U305" s="90"/>
      <c r="V305" s="100" t="s">
        <v>831</v>
      </c>
      <c r="W305" s="90"/>
      <c r="X305" s="1390"/>
      <c r="Y305" s="1390"/>
      <c r="Z305" s="1390"/>
      <c r="AA305" s="1390"/>
      <c r="AB305" s="1390"/>
      <c r="AC305" s="90"/>
      <c r="AD305" s="234" t="s">
        <v>854</v>
      </c>
      <c r="AE305" s="1397"/>
      <c r="AF305" s="1398"/>
      <c r="AG305" s="1398"/>
      <c r="AH305" s="1398"/>
      <c r="AI305" s="1398"/>
      <c r="AJ305" s="1398"/>
      <c r="AK305" s="1398"/>
      <c r="AL305" s="1399"/>
      <c r="AM305" s="83"/>
    </row>
    <row r="306" spans="2:39" ht="24.75" customHeight="1" x14ac:dyDescent="0.2">
      <c r="B306" s="1399"/>
      <c r="C306" s="1450"/>
      <c r="D306" s="100" t="s">
        <v>617</v>
      </c>
      <c r="E306" s="1414" t="s">
        <v>251</v>
      </c>
      <c r="F306" s="1415"/>
      <c r="G306" s="1415"/>
      <c r="H306" s="1415"/>
      <c r="I306" s="1415"/>
      <c r="J306" s="1415"/>
      <c r="K306" s="1415"/>
      <c r="L306" s="1415"/>
      <c r="M306" s="1415"/>
      <c r="N306" s="1415"/>
      <c r="O306" s="1415"/>
      <c r="P306" s="1415"/>
      <c r="Q306" s="1415"/>
      <c r="R306" s="1415"/>
      <c r="S306" s="1415"/>
      <c r="T306" s="1415"/>
      <c r="V306" s="100" t="s">
        <v>832</v>
      </c>
      <c r="W306" s="90"/>
      <c r="X306" s="1390"/>
      <c r="Y306" s="1390"/>
      <c r="Z306" s="1390"/>
      <c r="AA306" s="1390"/>
      <c r="AB306" s="1390"/>
      <c r="AC306" s="90"/>
      <c r="AD306" s="234" t="s">
        <v>854</v>
      </c>
      <c r="AE306" s="1397"/>
      <c r="AF306" s="1398"/>
      <c r="AG306" s="1398"/>
      <c r="AH306" s="1398"/>
      <c r="AI306" s="1398"/>
      <c r="AJ306" s="1398"/>
      <c r="AK306" s="1398"/>
      <c r="AL306" s="1399"/>
      <c r="AM306" s="83"/>
    </row>
    <row r="307" spans="2:39" ht="39.75" customHeight="1" x14ac:dyDescent="0.2">
      <c r="B307" s="1399"/>
      <c r="C307" s="1450"/>
      <c r="D307" s="100" t="s">
        <v>619</v>
      </c>
      <c r="E307" s="1414" t="s">
        <v>252</v>
      </c>
      <c r="F307" s="1415"/>
      <c r="G307" s="1415"/>
      <c r="H307" s="1415"/>
      <c r="I307" s="1415"/>
      <c r="J307" s="1415"/>
      <c r="K307" s="1415"/>
      <c r="L307" s="1415"/>
      <c r="M307" s="1415"/>
      <c r="N307" s="1415"/>
      <c r="O307" s="1415"/>
      <c r="P307" s="1415"/>
      <c r="Q307" s="1415"/>
      <c r="R307" s="1415"/>
      <c r="S307" s="1415"/>
      <c r="T307" s="1415"/>
      <c r="U307" s="90"/>
      <c r="V307" s="100" t="s">
        <v>833</v>
      </c>
      <c r="W307" s="90"/>
      <c r="X307" s="1390"/>
      <c r="Y307" s="1390"/>
      <c r="Z307" s="1390"/>
      <c r="AA307" s="1390"/>
      <c r="AB307" s="1390"/>
      <c r="AC307" s="90"/>
      <c r="AD307" s="234" t="s">
        <v>854</v>
      </c>
      <c r="AE307" s="1397"/>
      <c r="AF307" s="1398"/>
      <c r="AG307" s="1398"/>
      <c r="AH307" s="1398"/>
      <c r="AI307" s="1398"/>
      <c r="AJ307" s="1398"/>
      <c r="AK307" s="1398"/>
      <c r="AL307" s="1399"/>
      <c r="AM307" s="83"/>
    </row>
    <row r="308" spans="2:39" ht="27.75" customHeight="1" x14ac:dyDescent="0.2">
      <c r="B308" s="1399"/>
      <c r="C308" s="1450"/>
      <c r="D308" s="100" t="s">
        <v>726</v>
      </c>
      <c r="E308" s="1414" t="s">
        <v>253</v>
      </c>
      <c r="F308" s="1415"/>
      <c r="G308" s="1415"/>
      <c r="H308" s="1415"/>
      <c r="I308" s="1415"/>
      <c r="J308" s="1415"/>
      <c r="K308" s="1415"/>
      <c r="L308" s="1415"/>
      <c r="M308" s="1415"/>
      <c r="N308" s="1415"/>
      <c r="O308" s="1415"/>
      <c r="P308" s="1415"/>
      <c r="Q308" s="1415"/>
      <c r="R308" s="1415"/>
      <c r="S308" s="1415"/>
      <c r="T308" s="1415"/>
      <c r="V308" s="100" t="s">
        <v>834</v>
      </c>
      <c r="W308" s="90"/>
      <c r="X308" s="1390"/>
      <c r="Y308" s="1390"/>
      <c r="Z308" s="1390"/>
      <c r="AA308" s="1390"/>
      <c r="AB308" s="1390"/>
      <c r="AC308" s="90"/>
      <c r="AD308" s="234" t="s">
        <v>854</v>
      </c>
      <c r="AE308" s="1397"/>
      <c r="AF308" s="1398"/>
      <c r="AG308" s="1398"/>
      <c r="AH308" s="1398"/>
      <c r="AI308" s="1398"/>
      <c r="AJ308" s="1398"/>
      <c r="AK308" s="1398"/>
      <c r="AL308" s="1399"/>
      <c r="AM308" s="83"/>
    </row>
    <row r="309" spans="2:39" ht="14.25" customHeight="1" x14ac:dyDescent="0.2">
      <c r="B309" s="1399"/>
      <c r="C309" s="1450"/>
      <c r="D309" s="115" t="s">
        <v>750</v>
      </c>
      <c r="E309" s="1414" t="s">
        <v>254</v>
      </c>
      <c r="F309" s="1415"/>
      <c r="G309" s="1415"/>
      <c r="H309" s="1415"/>
      <c r="I309" s="1415"/>
      <c r="J309" s="1415"/>
      <c r="K309" s="1415"/>
      <c r="L309" s="1415"/>
      <c r="M309" s="1415"/>
      <c r="N309" s="1415"/>
      <c r="O309" s="1415"/>
      <c r="P309" s="1415"/>
      <c r="Q309" s="1415"/>
      <c r="R309" s="1415"/>
      <c r="S309" s="1415"/>
      <c r="T309" s="1415"/>
      <c r="U309" s="90"/>
      <c r="V309" s="115" t="s">
        <v>835</v>
      </c>
      <c r="W309" s="90"/>
      <c r="X309" s="1390"/>
      <c r="Y309" s="1390"/>
      <c r="Z309" s="1390"/>
      <c r="AA309" s="1390"/>
      <c r="AB309" s="1390"/>
      <c r="AC309" s="90"/>
      <c r="AD309" s="234" t="s">
        <v>854</v>
      </c>
      <c r="AE309" s="1400"/>
      <c r="AF309" s="1401"/>
      <c r="AG309" s="1401"/>
      <c r="AH309" s="1401"/>
      <c r="AI309" s="1401"/>
      <c r="AJ309" s="1401"/>
      <c r="AK309" s="1401"/>
      <c r="AL309" s="1402"/>
      <c r="AM309" s="83"/>
    </row>
    <row r="310" spans="2:39" ht="14.1" customHeight="1" x14ac:dyDescent="0.25">
      <c r="B310" s="1399"/>
      <c r="C310" s="1451"/>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391">
        <v>0</v>
      </c>
      <c r="AH310" s="1391"/>
      <c r="AI310" s="1391"/>
      <c r="AJ310" s="1391"/>
      <c r="AK310" s="1391"/>
      <c r="AL310" s="223" t="s">
        <v>854</v>
      </c>
      <c r="AM310" s="83"/>
    </row>
    <row r="311" spans="2:39" ht="25.5" customHeight="1" x14ac:dyDescent="0.2">
      <c r="B311" s="1399"/>
      <c r="C311" s="100">
        <v>11</v>
      </c>
      <c r="D311" s="1414" t="s">
        <v>255</v>
      </c>
      <c r="E311" s="1415"/>
      <c r="F311" s="1415"/>
      <c r="G311" s="1415"/>
      <c r="H311" s="1415"/>
      <c r="I311" s="1415"/>
      <c r="J311" s="1415"/>
      <c r="K311" s="1415"/>
      <c r="L311" s="1415"/>
      <c r="M311" s="1415"/>
      <c r="N311" s="1415"/>
      <c r="O311" s="1415"/>
      <c r="P311" s="1415"/>
      <c r="Q311" s="1415"/>
      <c r="R311" s="1415"/>
      <c r="S311" s="1415"/>
      <c r="T311" s="1415"/>
      <c r="U311" s="1415"/>
      <c r="V311" s="1415"/>
      <c r="W311" s="1415"/>
      <c r="X311" s="1415"/>
      <c r="Y311" s="1415"/>
      <c r="Z311" s="1415"/>
      <c r="AA311" s="1415"/>
      <c r="AB311" s="1415"/>
      <c r="AC311" s="90"/>
      <c r="AD311" s="90"/>
      <c r="AE311" s="1394"/>
      <c r="AF311" s="1395"/>
      <c r="AG311" s="1395"/>
      <c r="AH311" s="1395"/>
      <c r="AI311" s="1395"/>
      <c r="AJ311" s="1395"/>
      <c r="AK311" s="1395"/>
      <c r="AL311" s="1396"/>
      <c r="AM311" s="83"/>
    </row>
    <row r="312" spans="2:39" ht="23.25" customHeight="1" x14ac:dyDescent="0.2">
      <c r="B312" s="1399"/>
      <c r="C312" s="1449"/>
      <c r="D312" s="100" t="s">
        <v>613</v>
      </c>
      <c r="E312" s="1414" t="s">
        <v>249</v>
      </c>
      <c r="F312" s="1415"/>
      <c r="G312" s="1415"/>
      <c r="H312" s="1415"/>
      <c r="I312" s="1415"/>
      <c r="J312" s="1415"/>
      <c r="K312" s="1415"/>
      <c r="L312" s="1415"/>
      <c r="M312" s="1415"/>
      <c r="N312" s="1415"/>
      <c r="O312" s="1415"/>
      <c r="P312" s="1415"/>
      <c r="Q312" s="1415"/>
      <c r="R312" s="1415"/>
      <c r="S312" s="1415"/>
      <c r="T312" s="1415"/>
      <c r="V312" s="100" t="s">
        <v>429</v>
      </c>
      <c r="W312" s="90"/>
      <c r="X312" s="1390"/>
      <c r="Y312" s="1390"/>
      <c r="Z312" s="1390"/>
      <c r="AA312" s="1390"/>
      <c r="AB312" s="1390"/>
      <c r="AC312" s="90"/>
      <c r="AD312" s="234" t="s">
        <v>854</v>
      </c>
      <c r="AE312" s="1397"/>
      <c r="AF312" s="1398"/>
      <c r="AG312" s="1398"/>
      <c r="AH312" s="1398"/>
      <c r="AI312" s="1398"/>
      <c r="AJ312" s="1398"/>
      <c r="AK312" s="1398"/>
      <c r="AL312" s="1399"/>
      <c r="AM312" s="83"/>
    </row>
    <row r="313" spans="2:39" ht="40.5" customHeight="1" x14ac:dyDescent="0.2">
      <c r="B313" s="1399"/>
      <c r="C313" s="1450"/>
      <c r="D313" s="100" t="s">
        <v>615</v>
      </c>
      <c r="E313" s="1414" t="s">
        <v>250</v>
      </c>
      <c r="F313" s="1415"/>
      <c r="G313" s="1415"/>
      <c r="H313" s="1415"/>
      <c r="I313" s="1415"/>
      <c r="J313" s="1415"/>
      <c r="K313" s="1415"/>
      <c r="L313" s="1415"/>
      <c r="M313" s="1415"/>
      <c r="N313" s="1415"/>
      <c r="O313" s="1415"/>
      <c r="P313" s="1415"/>
      <c r="Q313" s="1415"/>
      <c r="R313" s="1415"/>
      <c r="S313" s="1415"/>
      <c r="T313" s="1415"/>
      <c r="U313" s="90"/>
      <c r="V313" s="100" t="s">
        <v>430</v>
      </c>
      <c r="W313" s="90"/>
      <c r="X313" s="1390"/>
      <c r="Y313" s="1390"/>
      <c r="Z313" s="1390"/>
      <c r="AA313" s="1390"/>
      <c r="AB313" s="1390"/>
      <c r="AC313" s="90"/>
      <c r="AD313" s="234" t="s">
        <v>854</v>
      </c>
      <c r="AE313" s="1397"/>
      <c r="AF313" s="1398"/>
      <c r="AG313" s="1398"/>
      <c r="AH313" s="1398"/>
      <c r="AI313" s="1398"/>
      <c r="AJ313" s="1398"/>
      <c r="AK313" s="1398"/>
      <c r="AL313" s="1399"/>
      <c r="AM313" s="83"/>
    </row>
    <row r="314" spans="2:39" ht="26.25" customHeight="1" x14ac:dyDescent="0.2">
      <c r="B314" s="1399"/>
      <c r="C314" s="1450"/>
      <c r="D314" s="100" t="s">
        <v>617</v>
      </c>
      <c r="E314" s="1414" t="s">
        <v>251</v>
      </c>
      <c r="F314" s="1415"/>
      <c r="G314" s="1415"/>
      <c r="H314" s="1415"/>
      <c r="I314" s="1415"/>
      <c r="J314" s="1415"/>
      <c r="K314" s="1415"/>
      <c r="L314" s="1415"/>
      <c r="M314" s="1415"/>
      <c r="N314" s="1415"/>
      <c r="O314" s="1415"/>
      <c r="P314" s="1415"/>
      <c r="Q314" s="1415"/>
      <c r="R314" s="1415"/>
      <c r="S314" s="1415"/>
      <c r="T314" s="1415"/>
      <c r="V314" s="100" t="s">
        <v>431</v>
      </c>
      <c r="W314" s="90"/>
      <c r="X314" s="1390"/>
      <c r="Y314" s="1390"/>
      <c r="Z314" s="1390"/>
      <c r="AA314" s="1390"/>
      <c r="AB314" s="1390"/>
      <c r="AC314" s="90"/>
      <c r="AD314" s="234" t="s">
        <v>854</v>
      </c>
      <c r="AE314" s="1397"/>
      <c r="AF314" s="1398"/>
      <c r="AG314" s="1398"/>
      <c r="AH314" s="1398"/>
      <c r="AI314" s="1398"/>
      <c r="AJ314" s="1398"/>
      <c r="AK314" s="1398"/>
      <c r="AL314" s="1399"/>
      <c r="AM314" s="83"/>
    </row>
    <row r="315" spans="2:39" ht="39" customHeight="1" x14ac:dyDescent="0.2">
      <c r="B315" s="1399"/>
      <c r="C315" s="1450"/>
      <c r="D315" s="100" t="s">
        <v>619</v>
      </c>
      <c r="E315" s="1414" t="s">
        <v>252</v>
      </c>
      <c r="F315" s="1415"/>
      <c r="G315" s="1415"/>
      <c r="H315" s="1415"/>
      <c r="I315" s="1415"/>
      <c r="J315" s="1415"/>
      <c r="K315" s="1415"/>
      <c r="L315" s="1415"/>
      <c r="M315" s="1415"/>
      <c r="N315" s="1415"/>
      <c r="O315" s="1415"/>
      <c r="P315" s="1415"/>
      <c r="Q315" s="1415"/>
      <c r="R315" s="1415"/>
      <c r="S315" s="1415"/>
      <c r="T315" s="1415"/>
      <c r="U315" s="90"/>
      <c r="V315" s="100" t="s">
        <v>428</v>
      </c>
      <c r="W315" s="90"/>
      <c r="X315" s="1390"/>
      <c r="Y315" s="1390"/>
      <c r="Z315" s="1390"/>
      <c r="AA315" s="1390"/>
      <c r="AB315" s="1390"/>
      <c r="AC315" s="90"/>
      <c r="AD315" s="234" t="s">
        <v>854</v>
      </c>
      <c r="AE315" s="1397"/>
      <c r="AF315" s="1398"/>
      <c r="AG315" s="1398"/>
      <c r="AH315" s="1398"/>
      <c r="AI315" s="1398"/>
      <c r="AJ315" s="1398"/>
      <c r="AK315" s="1398"/>
      <c r="AL315" s="1399"/>
      <c r="AM315" s="83"/>
    </row>
    <row r="316" spans="2:39" ht="24.75" customHeight="1" x14ac:dyDescent="0.2">
      <c r="B316" s="1399"/>
      <c r="C316" s="1450"/>
      <c r="D316" s="100" t="s">
        <v>726</v>
      </c>
      <c r="E316" s="1414" t="s">
        <v>253</v>
      </c>
      <c r="F316" s="1415"/>
      <c r="G316" s="1415"/>
      <c r="H316" s="1415"/>
      <c r="I316" s="1415"/>
      <c r="J316" s="1415"/>
      <c r="K316" s="1415"/>
      <c r="L316" s="1415"/>
      <c r="M316" s="1415"/>
      <c r="N316" s="1415"/>
      <c r="O316" s="1415"/>
      <c r="P316" s="1415"/>
      <c r="Q316" s="1415"/>
      <c r="R316" s="1415"/>
      <c r="S316" s="1415"/>
      <c r="T316" s="1415"/>
      <c r="U316" s="90"/>
      <c r="V316" s="100" t="s">
        <v>836</v>
      </c>
      <c r="W316" s="90"/>
      <c r="X316" s="1390"/>
      <c r="Y316" s="1390"/>
      <c r="Z316" s="1390"/>
      <c r="AA316" s="1390"/>
      <c r="AB316" s="1390"/>
      <c r="AC316" s="90"/>
      <c r="AD316" s="234" t="s">
        <v>854</v>
      </c>
      <c r="AE316" s="1397"/>
      <c r="AF316" s="1398"/>
      <c r="AG316" s="1398"/>
      <c r="AH316" s="1398"/>
      <c r="AI316" s="1398"/>
      <c r="AJ316" s="1398"/>
      <c r="AK316" s="1398"/>
      <c r="AL316" s="1399"/>
      <c r="AM316" s="83"/>
    </row>
    <row r="317" spans="2:39" ht="13.5" customHeight="1" x14ac:dyDescent="0.25">
      <c r="B317" s="1399"/>
      <c r="C317" s="1450"/>
      <c r="D317" s="115" t="s">
        <v>750</v>
      </c>
      <c r="E317" s="1414" t="s">
        <v>254</v>
      </c>
      <c r="F317" s="1415"/>
      <c r="G317" s="1415"/>
      <c r="H317" s="1415"/>
      <c r="I317" s="1415"/>
      <c r="J317" s="1415"/>
      <c r="K317" s="1415"/>
      <c r="L317" s="1415"/>
      <c r="M317" s="1415"/>
      <c r="N317" s="1415"/>
      <c r="O317" s="1415"/>
      <c r="P317" s="1415"/>
      <c r="Q317" s="1415"/>
      <c r="R317" s="1415"/>
      <c r="S317" s="1415"/>
      <c r="T317" s="1415"/>
      <c r="U317" s="90"/>
      <c r="V317" s="115" t="s">
        <v>199</v>
      </c>
      <c r="W317" s="90"/>
      <c r="X317" s="1390"/>
      <c r="Y317" s="1390"/>
      <c r="Z317" s="1390"/>
      <c r="AA317" s="1390"/>
      <c r="AB317" s="1390"/>
      <c r="AC317" s="90"/>
      <c r="AD317" s="127" t="s">
        <v>854</v>
      </c>
      <c r="AE317" s="1400"/>
      <c r="AF317" s="1401"/>
      <c r="AG317" s="1401"/>
      <c r="AH317" s="1401"/>
      <c r="AI317" s="1401"/>
      <c r="AJ317" s="1401"/>
      <c r="AK317" s="1401"/>
      <c r="AL317" s="1402"/>
      <c r="AM317" s="83"/>
    </row>
    <row r="318" spans="2:39" ht="14.25" customHeight="1" x14ac:dyDescent="0.25">
      <c r="B318" s="1399"/>
      <c r="C318" s="1451"/>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391">
        <v>0</v>
      </c>
      <c r="AH318" s="1391"/>
      <c r="AI318" s="1391"/>
      <c r="AJ318" s="1391"/>
      <c r="AK318" s="1391"/>
      <c r="AL318" s="223" t="s">
        <v>854</v>
      </c>
      <c r="AM318" s="83"/>
    </row>
    <row r="319" spans="2:39" ht="15" customHeight="1" x14ac:dyDescent="0.2">
      <c r="B319" s="1399"/>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394"/>
      <c r="AF319" s="1395"/>
      <c r="AG319" s="1395"/>
      <c r="AH319" s="1395"/>
      <c r="AI319" s="1395"/>
      <c r="AJ319" s="1395"/>
      <c r="AK319" s="1395"/>
      <c r="AL319" s="1396"/>
      <c r="AM319" s="83"/>
    </row>
    <row r="320" spans="2:39" ht="12" x14ac:dyDescent="0.25">
      <c r="B320" s="1399"/>
      <c r="C320" s="1449"/>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391"/>
      <c r="Y320" s="1391"/>
      <c r="Z320" s="1391"/>
      <c r="AA320" s="1391"/>
      <c r="AB320" s="1391"/>
      <c r="AC320" s="90"/>
      <c r="AD320" s="127" t="s">
        <v>854</v>
      </c>
      <c r="AE320" s="1397"/>
      <c r="AF320" s="1398"/>
      <c r="AG320" s="1398"/>
      <c r="AH320" s="1398"/>
      <c r="AI320" s="1398"/>
      <c r="AJ320" s="1398"/>
      <c r="AK320" s="1398"/>
      <c r="AL320" s="1399"/>
      <c r="AM320" s="83"/>
    </row>
    <row r="321" spans="2:39" ht="12" x14ac:dyDescent="0.25">
      <c r="B321" s="1399"/>
      <c r="C321" s="1450"/>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391"/>
      <c r="Y321" s="1391"/>
      <c r="Z321" s="1391"/>
      <c r="AA321" s="1391"/>
      <c r="AB321" s="1391"/>
      <c r="AC321" s="90"/>
      <c r="AD321" s="127" t="s">
        <v>854</v>
      </c>
      <c r="AE321" s="1397"/>
      <c r="AF321" s="1398"/>
      <c r="AG321" s="1398"/>
      <c r="AH321" s="1398"/>
      <c r="AI321" s="1398"/>
      <c r="AJ321" s="1398"/>
      <c r="AK321" s="1398"/>
      <c r="AL321" s="1399"/>
      <c r="AM321" s="83"/>
    </row>
    <row r="322" spans="2:39" ht="12" x14ac:dyDescent="0.25">
      <c r="B322" s="1399"/>
      <c r="C322" s="1450"/>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391"/>
      <c r="Y322" s="1391"/>
      <c r="Z322" s="1391"/>
      <c r="AA322" s="1391"/>
      <c r="AB322" s="1391"/>
      <c r="AC322" s="90"/>
      <c r="AD322" s="127" t="s">
        <v>854</v>
      </c>
      <c r="AE322" s="1397"/>
      <c r="AF322" s="1398"/>
      <c r="AG322" s="1398"/>
      <c r="AH322" s="1398"/>
      <c r="AI322" s="1398"/>
      <c r="AJ322" s="1398"/>
      <c r="AK322" s="1398"/>
      <c r="AL322" s="1399"/>
      <c r="AM322" s="83"/>
    </row>
    <row r="323" spans="2:39" ht="12" x14ac:dyDescent="0.25">
      <c r="B323" s="1399"/>
      <c r="C323" s="1450"/>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391"/>
      <c r="Y323" s="1391"/>
      <c r="Z323" s="1391"/>
      <c r="AA323" s="1391"/>
      <c r="AB323" s="1391"/>
      <c r="AC323" s="90"/>
      <c r="AD323" s="127" t="s">
        <v>854</v>
      </c>
      <c r="AE323" s="1400"/>
      <c r="AF323" s="1401"/>
      <c r="AG323" s="1401"/>
      <c r="AH323" s="1401"/>
      <c r="AI323" s="1401"/>
      <c r="AJ323" s="1401"/>
      <c r="AK323" s="1401"/>
      <c r="AL323" s="1402"/>
      <c r="AM323" s="83"/>
    </row>
    <row r="324" spans="2:39" ht="14.1" customHeight="1" x14ac:dyDescent="0.25">
      <c r="B324" s="1399"/>
      <c r="C324" s="1451"/>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391">
        <v>0</v>
      </c>
      <c r="AH324" s="1391"/>
      <c r="AI324" s="1391"/>
      <c r="AJ324" s="1391"/>
      <c r="AK324" s="1391"/>
      <c r="AL324" s="223" t="s">
        <v>854</v>
      </c>
      <c r="AM324" s="83"/>
    </row>
    <row r="325" spans="2:39" ht="14.1" customHeight="1" x14ac:dyDescent="0.25">
      <c r="B325" s="1399"/>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391"/>
      <c r="AH325" s="1391"/>
      <c r="AI325" s="1391"/>
      <c r="AJ325" s="1391"/>
      <c r="AK325" s="1391"/>
      <c r="AL325" s="223" t="s">
        <v>854</v>
      </c>
      <c r="AM325" s="83"/>
    </row>
    <row r="326" spans="2:39" ht="14.1" customHeight="1" x14ac:dyDescent="0.25">
      <c r="B326" s="1399"/>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391"/>
      <c r="AH326" s="1391"/>
      <c r="AI326" s="1391"/>
      <c r="AJ326" s="1391"/>
      <c r="AK326" s="1391"/>
      <c r="AL326" s="223" t="s">
        <v>854</v>
      </c>
      <c r="AM326" s="83"/>
    </row>
    <row r="327" spans="2:39" ht="24.75" customHeight="1" x14ac:dyDescent="0.25">
      <c r="B327" s="1402"/>
      <c r="C327" s="97">
        <v>15</v>
      </c>
      <c r="D327" s="1555" t="s">
        <v>264</v>
      </c>
      <c r="E327" s="1556"/>
      <c r="F327" s="1556"/>
      <c r="G327" s="1556"/>
      <c r="H327" s="1556"/>
      <c r="I327" s="1556"/>
      <c r="J327" s="1556"/>
      <c r="K327" s="1556"/>
      <c r="L327" s="1556"/>
      <c r="M327" s="1556"/>
      <c r="N327" s="1556"/>
      <c r="O327" s="1556"/>
      <c r="P327" s="1556"/>
      <c r="Q327" s="1556"/>
      <c r="R327" s="1556"/>
      <c r="S327" s="1556"/>
      <c r="T327" s="1556"/>
      <c r="U327" s="1556"/>
      <c r="V327" s="1556"/>
      <c r="W327" s="1556"/>
      <c r="X327" s="1556"/>
      <c r="Y327" s="1556"/>
      <c r="Z327" s="1556"/>
      <c r="AA327" s="1556"/>
      <c r="AB327" s="1556"/>
      <c r="AC327" s="90"/>
      <c r="AD327" s="90"/>
      <c r="AE327" s="100">
        <v>15</v>
      </c>
      <c r="AF327" s="91"/>
      <c r="AG327" s="1391"/>
      <c r="AH327" s="1391"/>
      <c r="AI327" s="1391"/>
      <c r="AJ327" s="1391"/>
      <c r="AK327" s="1391"/>
      <c r="AL327" s="261" t="s">
        <v>854</v>
      </c>
      <c r="AM327" s="83"/>
    </row>
    <row r="328" spans="2:39" ht="15" customHeight="1" x14ac:dyDescent="0.2">
      <c r="V328" s="79"/>
      <c r="AE328" s="125" t="s">
        <v>492</v>
      </c>
      <c r="AF328" s="1403" t="s">
        <v>907</v>
      </c>
      <c r="AG328" s="1403"/>
      <c r="AH328" s="1403"/>
      <c r="AI328" s="1403"/>
      <c r="AJ328" s="132" t="s">
        <v>201</v>
      </c>
      <c r="AK328" s="131"/>
      <c r="AL328" s="133">
        <v>9.06</v>
      </c>
    </row>
    <row r="329" spans="2:39" x14ac:dyDescent="0.2">
      <c r="V329" s="79"/>
      <c r="AE329" s="79"/>
    </row>
    <row r="330" spans="2:39" ht="15.75" customHeight="1" x14ac:dyDescent="0.3">
      <c r="B330" s="181" t="s">
        <v>424</v>
      </c>
      <c r="C330" s="181"/>
      <c r="D330" s="181"/>
      <c r="E330" s="181"/>
      <c r="F330" s="181"/>
      <c r="G330" s="186" t="s">
        <v>876</v>
      </c>
    </row>
    <row r="331" spans="2:39" ht="14.1" customHeight="1" x14ac:dyDescent="0.2">
      <c r="B331" s="1522"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543"/>
      <c r="AF331" s="1544"/>
      <c r="AG331" s="1544"/>
      <c r="AH331" s="1544"/>
      <c r="AI331" s="1544"/>
      <c r="AJ331" s="1544"/>
      <c r="AK331" s="1544"/>
      <c r="AL331" s="1549"/>
      <c r="AM331" s="83"/>
    </row>
    <row r="332" spans="2:39" ht="14.1" customHeight="1" x14ac:dyDescent="0.25">
      <c r="B332" s="1522"/>
      <c r="C332" s="1452"/>
      <c r="D332" s="145">
        <v>1</v>
      </c>
      <c r="E332" s="270" t="s">
        <v>265</v>
      </c>
      <c r="F332" s="221"/>
      <c r="V332" s="79"/>
      <c r="AE332" s="145">
        <v>1</v>
      </c>
      <c r="AF332" s="120"/>
      <c r="AG332" s="1391"/>
      <c r="AH332" s="1391"/>
      <c r="AI332" s="1391"/>
      <c r="AJ332" s="1391"/>
      <c r="AK332" s="1391"/>
      <c r="AL332" s="223" t="s">
        <v>854</v>
      </c>
      <c r="AM332" s="83"/>
    </row>
    <row r="333" spans="2:39" ht="14.1" customHeight="1" x14ac:dyDescent="0.25">
      <c r="B333" s="1522"/>
      <c r="C333" s="1453"/>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391"/>
      <c r="AH333" s="1391"/>
      <c r="AI333" s="1391"/>
      <c r="AJ333" s="1391"/>
      <c r="AK333" s="1391"/>
      <c r="AL333" s="223" t="s">
        <v>854</v>
      </c>
      <c r="AM333" s="83"/>
    </row>
    <row r="334" spans="2:39" ht="14.1" customHeight="1" x14ac:dyDescent="0.25">
      <c r="B334" s="1522"/>
      <c r="C334" s="1453"/>
      <c r="D334" s="148">
        <v>3</v>
      </c>
      <c r="E334" s="270" t="s">
        <v>267</v>
      </c>
      <c r="F334" s="221"/>
      <c r="V334" s="79"/>
      <c r="AE334" s="148">
        <v>3</v>
      </c>
      <c r="AF334" s="120"/>
      <c r="AG334" s="1391"/>
      <c r="AH334" s="1391"/>
      <c r="AI334" s="1391"/>
      <c r="AJ334" s="1391"/>
      <c r="AK334" s="1391"/>
      <c r="AL334" s="223" t="s">
        <v>854</v>
      </c>
      <c r="AM334" s="83"/>
    </row>
    <row r="335" spans="2:39" ht="14.1" customHeight="1" x14ac:dyDescent="0.25">
      <c r="B335" s="1522"/>
      <c r="C335" s="1453"/>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391"/>
      <c r="AH335" s="1391"/>
      <c r="AI335" s="1391"/>
      <c r="AJ335" s="1391"/>
      <c r="AK335" s="1391"/>
      <c r="AL335" s="223" t="s">
        <v>854</v>
      </c>
      <c r="AM335" s="83"/>
    </row>
    <row r="336" spans="2:39" ht="14.1" customHeight="1" x14ac:dyDescent="0.25">
      <c r="B336" s="1522"/>
      <c r="C336" s="1454"/>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391"/>
      <c r="AH336" s="1391"/>
      <c r="AI336" s="1391"/>
      <c r="AJ336" s="1391"/>
      <c r="AK336" s="1391"/>
      <c r="AL336" s="223" t="s">
        <v>854</v>
      </c>
      <c r="AM336" s="83"/>
    </row>
    <row r="337" spans="2:39" ht="14.1" customHeight="1" x14ac:dyDescent="0.2">
      <c r="B337" s="1522"/>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486"/>
      <c r="AF337" s="1485"/>
      <c r="AG337" s="1485"/>
      <c r="AH337" s="1485"/>
      <c r="AI337" s="1485"/>
      <c r="AJ337" s="1485"/>
      <c r="AK337" s="1485"/>
      <c r="AL337" s="1461"/>
      <c r="AM337" s="83"/>
    </row>
    <row r="338" spans="2:39" ht="14.1" customHeight="1" x14ac:dyDescent="0.2">
      <c r="B338" s="1522"/>
      <c r="C338" s="1452"/>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488"/>
      <c r="AF338" s="1489"/>
      <c r="AG338" s="1489"/>
      <c r="AH338" s="1489"/>
      <c r="AI338" s="1489"/>
      <c r="AJ338" s="1489"/>
      <c r="AK338" s="1489"/>
      <c r="AL338" s="1463"/>
      <c r="AM338" s="83"/>
    </row>
    <row r="339" spans="2:39" ht="14.1" customHeight="1" x14ac:dyDescent="0.25">
      <c r="B339" s="1522"/>
      <c r="C339" s="1453"/>
      <c r="D339" s="1452"/>
      <c r="E339" s="145" t="s">
        <v>613</v>
      </c>
      <c r="F339" s="152" t="s">
        <v>265</v>
      </c>
      <c r="V339" s="79"/>
      <c r="AE339" s="145" t="s">
        <v>32</v>
      </c>
      <c r="AF339" s="120"/>
      <c r="AG339" s="1391"/>
      <c r="AH339" s="1391"/>
      <c r="AI339" s="1391"/>
      <c r="AJ339" s="1391"/>
      <c r="AK339" s="1391"/>
      <c r="AL339" s="223" t="s">
        <v>854</v>
      </c>
      <c r="AM339" s="83"/>
    </row>
    <row r="340" spans="2:39" ht="14.1" customHeight="1" x14ac:dyDescent="0.25">
      <c r="B340" s="1522"/>
      <c r="C340" s="1453"/>
      <c r="D340" s="1453"/>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391"/>
      <c r="AH340" s="1391"/>
      <c r="AI340" s="1391"/>
      <c r="AJ340" s="1391"/>
      <c r="AK340" s="1391"/>
      <c r="AL340" s="223" t="s">
        <v>854</v>
      </c>
      <c r="AM340" s="83"/>
    </row>
    <row r="341" spans="2:39" ht="14.1" customHeight="1" x14ac:dyDescent="0.25">
      <c r="B341" s="1522"/>
      <c r="C341" s="1453"/>
      <c r="D341" s="1453"/>
      <c r="E341" s="148" t="s">
        <v>617</v>
      </c>
      <c r="F341" s="152" t="s">
        <v>271</v>
      </c>
      <c r="V341" s="79"/>
      <c r="AE341" s="148" t="s">
        <v>36</v>
      </c>
      <c r="AF341" s="120"/>
      <c r="AG341" s="1391"/>
      <c r="AH341" s="1391"/>
      <c r="AI341" s="1391"/>
      <c r="AJ341" s="1391"/>
      <c r="AK341" s="1391"/>
      <c r="AL341" s="223" t="s">
        <v>854</v>
      </c>
      <c r="AM341" s="83"/>
    </row>
    <row r="342" spans="2:39" ht="14.1" customHeight="1" x14ac:dyDescent="0.25">
      <c r="B342" s="1522"/>
      <c r="C342" s="1453"/>
      <c r="D342" s="1453"/>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391"/>
      <c r="AH342" s="1391"/>
      <c r="AI342" s="1391"/>
      <c r="AJ342" s="1391"/>
      <c r="AK342" s="1391"/>
      <c r="AL342" s="223" t="s">
        <v>854</v>
      </c>
      <c r="AM342" s="83"/>
    </row>
    <row r="343" spans="2:39" ht="14.1" customHeight="1" x14ac:dyDescent="0.25">
      <c r="B343" s="1522"/>
      <c r="C343" s="1453"/>
      <c r="D343" s="1453"/>
      <c r="E343" s="148" t="s">
        <v>726</v>
      </c>
      <c r="F343" s="152" t="s">
        <v>268</v>
      </c>
      <c r="V343" s="79"/>
      <c r="AE343" s="148" t="s">
        <v>214</v>
      </c>
      <c r="AF343" s="120"/>
      <c r="AG343" s="1391"/>
      <c r="AH343" s="1391"/>
      <c r="AI343" s="1391"/>
      <c r="AJ343" s="1391"/>
      <c r="AK343" s="1391"/>
      <c r="AL343" s="223" t="s">
        <v>854</v>
      </c>
      <c r="AM343" s="83"/>
    </row>
    <row r="344" spans="2:39" ht="14.1" customHeight="1" x14ac:dyDescent="0.25">
      <c r="B344" s="1522"/>
      <c r="C344" s="1453"/>
      <c r="D344" s="1453"/>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391"/>
      <c r="AH344" s="1391"/>
      <c r="AI344" s="1391"/>
      <c r="AJ344" s="1391"/>
      <c r="AK344" s="1391"/>
      <c r="AL344" s="223" t="s">
        <v>854</v>
      </c>
      <c r="AM344" s="83"/>
    </row>
    <row r="345" spans="2:39" ht="14.1" customHeight="1" x14ac:dyDescent="0.25">
      <c r="B345" s="1522"/>
      <c r="C345" s="1453"/>
      <c r="D345" s="1453"/>
      <c r="E345" s="148" t="s">
        <v>752</v>
      </c>
      <c r="F345" s="152" t="s">
        <v>273</v>
      </c>
      <c r="V345" s="79"/>
      <c r="AE345" s="148" t="s">
        <v>274</v>
      </c>
      <c r="AF345" s="120"/>
      <c r="AG345" s="1391"/>
      <c r="AH345" s="1391"/>
      <c r="AI345" s="1391"/>
      <c r="AJ345" s="1391"/>
      <c r="AK345" s="1391"/>
      <c r="AL345" s="223" t="s">
        <v>854</v>
      </c>
      <c r="AM345" s="83"/>
    </row>
    <row r="346" spans="2:39" ht="14.1" customHeight="1" x14ac:dyDescent="0.25">
      <c r="B346" s="1522"/>
      <c r="C346" s="1453"/>
      <c r="D346" s="1454"/>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391"/>
      <c r="AH346" s="1391"/>
      <c r="AI346" s="1391"/>
      <c r="AJ346" s="1391"/>
      <c r="AK346" s="1391"/>
      <c r="AL346" s="223" t="s">
        <v>854</v>
      </c>
      <c r="AM346" s="83"/>
    </row>
    <row r="347" spans="2:39" ht="14.1" customHeight="1" x14ac:dyDescent="0.2">
      <c r="B347" s="1522"/>
      <c r="C347" s="1453"/>
      <c r="D347" s="148">
        <v>7</v>
      </c>
      <c r="E347" s="138" t="s">
        <v>275</v>
      </c>
      <c r="F347" s="221"/>
      <c r="V347" s="79"/>
      <c r="AE347" s="1543"/>
      <c r="AF347" s="1544"/>
      <c r="AG347" s="1544"/>
      <c r="AH347" s="1544"/>
      <c r="AI347" s="1544"/>
      <c r="AJ347" s="1544"/>
      <c r="AK347" s="1544"/>
      <c r="AL347" s="1549"/>
      <c r="AM347" s="83"/>
    </row>
    <row r="348" spans="2:39" ht="14.1" customHeight="1" x14ac:dyDescent="0.25">
      <c r="B348" s="1522"/>
      <c r="C348" s="1453"/>
      <c r="D348" s="1452"/>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391"/>
      <c r="AH348" s="1391"/>
      <c r="AI348" s="1391"/>
      <c r="AJ348" s="1391"/>
      <c r="AK348" s="1391"/>
      <c r="AL348" s="223" t="s">
        <v>854</v>
      </c>
      <c r="AM348" s="83"/>
    </row>
    <row r="349" spans="2:39" ht="14.1" customHeight="1" x14ac:dyDescent="0.25">
      <c r="B349" s="1522"/>
      <c r="C349" s="1453"/>
      <c r="D349" s="1453"/>
      <c r="E349" s="148" t="s">
        <v>615</v>
      </c>
      <c r="F349" s="152" t="s">
        <v>277</v>
      </c>
      <c r="V349" s="79"/>
      <c r="AE349" s="148" t="s">
        <v>616</v>
      </c>
      <c r="AF349" s="120"/>
      <c r="AG349" s="1391"/>
      <c r="AH349" s="1391"/>
      <c r="AI349" s="1391"/>
      <c r="AJ349" s="1391"/>
      <c r="AK349" s="1391"/>
      <c r="AL349" s="223" t="s">
        <v>854</v>
      </c>
      <c r="AM349" s="83"/>
    </row>
    <row r="350" spans="2:39" ht="14.1" customHeight="1" x14ac:dyDescent="0.25">
      <c r="B350" s="1522"/>
      <c r="C350" s="1453"/>
      <c r="D350" s="1453"/>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391"/>
      <c r="AH350" s="1391"/>
      <c r="AI350" s="1391"/>
      <c r="AJ350" s="1391"/>
      <c r="AK350" s="1391"/>
      <c r="AL350" s="223" t="s">
        <v>854</v>
      </c>
      <c r="AM350" s="83"/>
    </row>
    <row r="351" spans="2:39" ht="14.1" customHeight="1" x14ac:dyDescent="0.25">
      <c r="B351" s="1522"/>
      <c r="C351" s="1453"/>
      <c r="D351" s="1453"/>
      <c r="E351" s="148" t="s">
        <v>619</v>
      </c>
      <c r="F351" s="152" t="s">
        <v>279</v>
      </c>
      <c r="V351" s="79"/>
      <c r="AE351" s="148" t="s">
        <v>725</v>
      </c>
      <c r="AF351" s="120"/>
      <c r="AG351" s="1391"/>
      <c r="AH351" s="1391"/>
      <c r="AI351" s="1391"/>
      <c r="AJ351" s="1391"/>
      <c r="AK351" s="1391"/>
      <c r="AL351" s="223" t="s">
        <v>854</v>
      </c>
      <c r="AM351" s="83"/>
    </row>
    <row r="352" spans="2:39" ht="14.1" customHeight="1" x14ac:dyDescent="0.25">
      <c r="B352" s="1522"/>
      <c r="C352" s="1453"/>
      <c r="D352" s="1453"/>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391"/>
      <c r="AH352" s="1391"/>
      <c r="AI352" s="1391"/>
      <c r="AJ352" s="1391"/>
      <c r="AK352" s="1391"/>
      <c r="AL352" s="223" t="s">
        <v>854</v>
      </c>
      <c r="AM352" s="83"/>
    </row>
    <row r="353" spans="2:39" ht="14.1" customHeight="1" x14ac:dyDescent="0.25">
      <c r="B353" s="1522"/>
      <c r="C353" s="1454"/>
      <c r="D353" s="1454"/>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391"/>
      <c r="AH353" s="1391"/>
      <c r="AI353" s="1391"/>
      <c r="AJ353" s="1391"/>
      <c r="AK353" s="1391"/>
      <c r="AL353" s="223" t="s">
        <v>854</v>
      </c>
      <c r="AM353" s="83"/>
    </row>
    <row r="355" spans="2:39" ht="13.2" x14ac:dyDescent="0.2">
      <c r="B355" s="1467" t="s">
        <v>856</v>
      </c>
      <c r="C355" s="1468"/>
      <c r="D355" s="1468"/>
      <c r="E355" s="1468"/>
      <c r="F355" s="1468"/>
      <c r="G355" s="1479" t="s">
        <v>855</v>
      </c>
      <c r="H355" s="1479"/>
      <c r="I355" s="1479"/>
      <c r="J355" s="1479"/>
      <c r="K355" s="1479"/>
      <c r="L355" s="1479"/>
      <c r="M355" s="1479"/>
      <c r="N355" s="1479"/>
      <c r="O355" s="1479"/>
      <c r="P355" s="1479"/>
      <c r="Q355" s="1479"/>
      <c r="R355" s="1479"/>
      <c r="S355" s="1479"/>
      <c r="T355" s="1479"/>
      <c r="U355" s="1479"/>
      <c r="V355" s="1479"/>
      <c r="W355" s="1479"/>
      <c r="X355" s="1479"/>
      <c r="Y355" s="1479"/>
      <c r="Z355" s="1479"/>
      <c r="AA355" s="1479"/>
      <c r="AB355" s="1479"/>
      <c r="AC355" s="1479"/>
      <c r="AD355" s="1479"/>
      <c r="AE355" s="1479"/>
      <c r="AF355" s="1479"/>
    </row>
    <row r="356" spans="2:39" ht="14.1" customHeight="1" x14ac:dyDescent="0.2">
      <c r="B356" s="1514"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550"/>
      <c r="AF356" s="1551"/>
      <c r="AG356" s="1551"/>
      <c r="AH356" s="1551"/>
      <c r="AI356" s="1551"/>
      <c r="AJ356" s="1551"/>
      <c r="AK356" s="1551"/>
      <c r="AL356" s="1552"/>
      <c r="AM356" s="83"/>
    </row>
    <row r="357" spans="2:39" ht="14.1" customHeight="1" x14ac:dyDescent="0.25">
      <c r="B357" s="1514"/>
      <c r="C357" s="1419"/>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391">
        <v>0</v>
      </c>
      <c r="AH357" s="1391"/>
      <c r="AI357" s="1391"/>
      <c r="AJ357" s="1391"/>
      <c r="AK357" s="1391"/>
      <c r="AL357" s="223" t="s">
        <v>854</v>
      </c>
      <c r="AM357" s="83"/>
    </row>
    <row r="358" spans="2:39" ht="14.1" customHeight="1" x14ac:dyDescent="0.25">
      <c r="B358" s="1514"/>
      <c r="C358" s="1420"/>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391"/>
      <c r="Y358" s="1391"/>
      <c r="Z358" s="1391"/>
      <c r="AA358" s="1391"/>
      <c r="AB358" s="1391"/>
      <c r="AC358" s="82"/>
      <c r="AD358" s="128" t="s">
        <v>854</v>
      </c>
      <c r="AE358" s="1422"/>
      <c r="AF358" s="1423"/>
      <c r="AG358" s="1423"/>
      <c r="AH358" s="1423"/>
      <c r="AI358" s="1423"/>
      <c r="AJ358" s="1423"/>
      <c r="AK358" s="1423"/>
      <c r="AL358" s="1424"/>
      <c r="AM358" s="83"/>
    </row>
    <row r="359" spans="2:39" ht="24" customHeight="1" x14ac:dyDescent="0.25">
      <c r="B359" s="1514"/>
      <c r="C359" s="1420"/>
      <c r="D359" s="194">
        <v>3</v>
      </c>
      <c r="E359" s="1516" t="s">
        <v>319</v>
      </c>
      <c r="F359" s="1517"/>
      <c r="G359" s="1517"/>
      <c r="H359" s="1517"/>
      <c r="I359" s="1517"/>
      <c r="J359" s="1517"/>
      <c r="K359" s="1517"/>
      <c r="L359" s="1517"/>
      <c r="M359" s="1517"/>
      <c r="N359" s="1517"/>
      <c r="O359" s="1517"/>
      <c r="P359" s="1517"/>
      <c r="Q359" s="1517"/>
      <c r="R359" s="1517"/>
      <c r="S359" s="1517"/>
      <c r="T359" s="1517"/>
      <c r="U359" s="189"/>
      <c r="V359" s="194">
        <v>3</v>
      </c>
      <c r="W359" s="189"/>
      <c r="X359" s="1391"/>
      <c r="Y359" s="1391"/>
      <c r="Z359" s="1391"/>
      <c r="AA359" s="1391"/>
      <c r="AB359" s="1391"/>
      <c r="AC359" s="82"/>
      <c r="AD359" s="249" t="s">
        <v>854</v>
      </c>
      <c r="AE359" s="1425"/>
      <c r="AF359" s="1426"/>
      <c r="AG359" s="1426"/>
      <c r="AH359" s="1426"/>
      <c r="AI359" s="1426"/>
      <c r="AJ359" s="1426"/>
      <c r="AK359" s="1426"/>
      <c r="AL359" s="1427"/>
      <c r="AM359" s="83"/>
    </row>
    <row r="360" spans="2:39" ht="37.5" customHeight="1" x14ac:dyDescent="0.25">
      <c r="B360" s="1514"/>
      <c r="C360" s="1420"/>
      <c r="D360" s="194">
        <v>4</v>
      </c>
      <c r="E360" s="1553" t="s">
        <v>321</v>
      </c>
      <c r="F360" s="1554"/>
      <c r="G360" s="1554"/>
      <c r="H360" s="1554"/>
      <c r="I360" s="1554"/>
      <c r="J360" s="1554"/>
      <c r="K360" s="1554"/>
      <c r="L360" s="1554"/>
      <c r="M360" s="1554"/>
      <c r="N360" s="1554"/>
      <c r="O360" s="1554"/>
      <c r="P360" s="1554"/>
      <c r="Q360" s="1554"/>
      <c r="R360" s="1554"/>
      <c r="S360" s="1554"/>
      <c r="T360" s="1554"/>
      <c r="U360" s="189"/>
      <c r="V360" s="194">
        <v>4</v>
      </c>
      <c r="W360" s="189"/>
      <c r="X360" s="1391"/>
      <c r="Y360" s="1391"/>
      <c r="Z360" s="1391"/>
      <c r="AA360" s="1391"/>
      <c r="AB360" s="1391"/>
      <c r="AC360" s="90"/>
      <c r="AD360" s="249" t="s">
        <v>854</v>
      </c>
      <c r="AE360" s="1425"/>
      <c r="AF360" s="1426"/>
      <c r="AG360" s="1426"/>
      <c r="AH360" s="1426"/>
      <c r="AI360" s="1426"/>
      <c r="AJ360" s="1426"/>
      <c r="AK360" s="1426"/>
      <c r="AL360" s="1427"/>
      <c r="AM360" s="83"/>
    </row>
    <row r="361" spans="2:39" ht="14.1" customHeight="1" x14ac:dyDescent="0.2">
      <c r="B361" s="1515"/>
      <c r="C361" s="1421"/>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428"/>
      <c r="AF361" s="1429"/>
      <c r="AG361" s="1429"/>
      <c r="AH361" s="1429"/>
      <c r="AI361" s="1429"/>
      <c r="AJ361" s="1429"/>
      <c r="AK361" s="1429"/>
      <c r="AL361" s="1430"/>
      <c r="AM361" s="83"/>
    </row>
    <row r="362" spans="2:39" ht="14.1" customHeight="1" x14ac:dyDescent="0.2">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403" t="s">
        <v>907</v>
      </c>
      <c r="AG362" s="1403"/>
      <c r="AH362" s="1403"/>
      <c r="AI362" s="1403"/>
      <c r="AJ362" s="132" t="s">
        <v>857</v>
      </c>
      <c r="AK362" s="131"/>
      <c r="AL362" s="133">
        <v>9.06</v>
      </c>
    </row>
    <row r="363" spans="2:39" ht="13.8" x14ac:dyDescent="0.25">
      <c r="B363" s="1416" t="s">
        <v>119</v>
      </c>
      <c r="C363" s="1419"/>
      <c r="D363" s="1480"/>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391"/>
      <c r="Y363" s="1391"/>
      <c r="Z363" s="1391"/>
      <c r="AA363" s="1391"/>
      <c r="AB363" s="1391"/>
      <c r="AC363" s="82"/>
      <c r="AD363" s="128" t="s">
        <v>854</v>
      </c>
      <c r="AE363" s="1394"/>
      <c r="AF363" s="1395"/>
      <c r="AG363" s="1395"/>
      <c r="AH363" s="1395"/>
      <c r="AI363" s="1395"/>
      <c r="AJ363" s="1395"/>
      <c r="AK363" s="1395"/>
      <c r="AL363" s="1396"/>
      <c r="AM363" s="83"/>
    </row>
    <row r="364" spans="2:39" ht="12" x14ac:dyDescent="0.25">
      <c r="B364" s="1417"/>
      <c r="C364" s="1420"/>
      <c r="D364" s="1481"/>
      <c r="E364" s="196" t="s">
        <v>615</v>
      </c>
      <c r="F364" s="150" t="s">
        <v>322</v>
      </c>
      <c r="G364" s="241"/>
      <c r="H364" s="90"/>
      <c r="I364" s="90"/>
      <c r="J364" s="90"/>
      <c r="K364" s="90"/>
      <c r="L364" s="90"/>
      <c r="M364" s="90"/>
      <c r="N364" s="90"/>
      <c r="O364" s="90"/>
      <c r="P364" s="90"/>
      <c r="Q364" s="90"/>
      <c r="R364" s="90"/>
      <c r="S364" s="90"/>
      <c r="T364" s="90"/>
      <c r="U364" s="90"/>
      <c r="V364" s="148" t="s">
        <v>784</v>
      </c>
      <c r="W364" s="90"/>
      <c r="X364" s="1391"/>
      <c r="Y364" s="1391"/>
      <c r="Z364" s="1391"/>
      <c r="AA364" s="1391"/>
      <c r="AB364" s="1391"/>
      <c r="AC364" s="82"/>
      <c r="AD364" s="128" t="s">
        <v>854</v>
      </c>
      <c r="AE364" s="1397"/>
      <c r="AF364" s="1398"/>
      <c r="AG364" s="1398"/>
      <c r="AH364" s="1398"/>
      <c r="AI364" s="1398"/>
      <c r="AJ364" s="1398"/>
      <c r="AK364" s="1398"/>
      <c r="AL364" s="1399"/>
      <c r="AM364" s="83"/>
    </row>
    <row r="365" spans="2:39" ht="12" x14ac:dyDescent="0.25">
      <c r="B365" s="1417"/>
      <c r="C365" s="1420"/>
      <c r="D365" s="1481"/>
      <c r="E365" s="242" t="s">
        <v>617</v>
      </c>
      <c r="F365" s="136" t="s">
        <v>323</v>
      </c>
      <c r="G365" s="123"/>
      <c r="V365" s="153" t="s">
        <v>785</v>
      </c>
      <c r="X365" s="1391"/>
      <c r="Y365" s="1391"/>
      <c r="Z365" s="1391"/>
      <c r="AA365" s="1391"/>
      <c r="AB365" s="1391"/>
      <c r="AC365" s="82"/>
      <c r="AD365" s="128" t="s">
        <v>854</v>
      </c>
      <c r="AE365" s="1397"/>
      <c r="AF365" s="1398"/>
      <c r="AG365" s="1398"/>
      <c r="AH365" s="1398"/>
      <c r="AI365" s="1398"/>
      <c r="AJ365" s="1398"/>
      <c r="AK365" s="1398"/>
      <c r="AL365" s="1399"/>
      <c r="AM365" s="83"/>
    </row>
    <row r="366" spans="2:39" ht="12" x14ac:dyDescent="0.25">
      <c r="B366" s="1417"/>
      <c r="C366" s="1420"/>
      <c r="D366" s="1482"/>
      <c r="E366" s="196" t="s">
        <v>619</v>
      </c>
      <c r="F366" s="150" t="s">
        <v>324</v>
      </c>
      <c r="G366" s="241"/>
      <c r="H366" s="90"/>
      <c r="I366" s="90"/>
      <c r="J366" s="90"/>
      <c r="K366" s="90"/>
      <c r="L366" s="90"/>
      <c r="M366" s="90"/>
      <c r="N366" s="90"/>
      <c r="O366" s="90"/>
      <c r="P366" s="90"/>
      <c r="Q366" s="90"/>
      <c r="R366" s="90"/>
      <c r="S366" s="90"/>
      <c r="T366" s="90"/>
      <c r="U366" s="90"/>
      <c r="V366" s="148" t="s">
        <v>786</v>
      </c>
      <c r="W366" s="90"/>
      <c r="X366" s="1391">
        <v>0</v>
      </c>
      <c r="Y366" s="1391"/>
      <c r="Z366" s="1391"/>
      <c r="AA366" s="1391"/>
      <c r="AB366" s="1391"/>
      <c r="AC366" s="90"/>
      <c r="AD366" s="128" t="s">
        <v>854</v>
      </c>
      <c r="AE366" s="1400"/>
      <c r="AF366" s="1401"/>
      <c r="AG366" s="1401"/>
      <c r="AH366" s="1401"/>
      <c r="AI366" s="1401"/>
      <c r="AJ366" s="1401"/>
      <c r="AK366" s="1401"/>
      <c r="AL366" s="1402"/>
      <c r="AM366" s="83"/>
    </row>
    <row r="367" spans="2:39" ht="12" x14ac:dyDescent="0.25">
      <c r="B367" s="1417"/>
      <c r="C367" s="1420"/>
      <c r="D367" s="240">
        <v>6</v>
      </c>
      <c r="E367" s="136" t="s">
        <v>325</v>
      </c>
      <c r="F367" s="123"/>
      <c r="G367" s="123"/>
      <c r="AE367" s="115">
        <v>6</v>
      </c>
      <c r="AG367" s="1391">
        <v>0</v>
      </c>
      <c r="AH367" s="1391"/>
      <c r="AI367" s="1391"/>
      <c r="AJ367" s="1391"/>
      <c r="AK367" s="1391"/>
      <c r="AL367" s="223" t="s">
        <v>854</v>
      </c>
      <c r="AM367" s="83"/>
    </row>
    <row r="368" spans="2:39" ht="27" customHeight="1" x14ac:dyDescent="0.25">
      <c r="B368" s="1417"/>
      <c r="C368" s="1420"/>
      <c r="D368" s="244">
        <v>7</v>
      </c>
      <c r="E368" s="1414" t="s">
        <v>861</v>
      </c>
      <c r="F368" s="1415"/>
      <c r="G368" s="1415"/>
      <c r="H368" s="1415"/>
      <c r="I368" s="1415"/>
      <c r="J368" s="1415"/>
      <c r="K368" s="1415"/>
      <c r="L368" s="1415"/>
      <c r="M368" s="1415"/>
      <c r="N368" s="1415"/>
      <c r="O368" s="1415"/>
      <c r="P368" s="1415"/>
      <c r="Q368" s="1415"/>
      <c r="R368" s="1415"/>
      <c r="S368" s="1415"/>
      <c r="T368" s="1415"/>
      <c r="U368" s="90"/>
      <c r="V368" s="246">
        <v>7</v>
      </c>
      <c r="W368" s="90"/>
      <c r="X368" s="1391"/>
      <c r="Y368" s="1391"/>
      <c r="Z368" s="1391"/>
      <c r="AA368" s="1391"/>
      <c r="AB368" s="1391"/>
      <c r="AC368" s="82"/>
      <c r="AD368" s="245" t="s">
        <v>854</v>
      </c>
      <c r="AE368" s="1394"/>
      <c r="AF368" s="1395"/>
      <c r="AG368" s="1395"/>
      <c r="AH368" s="1395"/>
      <c r="AI368" s="1395"/>
      <c r="AJ368" s="1395"/>
      <c r="AK368" s="1395"/>
      <c r="AL368" s="1396"/>
      <c r="AM368" s="83"/>
    </row>
    <row r="369" spans="2:39" ht="28.5" customHeight="1" x14ac:dyDescent="0.25">
      <c r="B369" s="1417"/>
      <c r="C369" s="1420"/>
      <c r="D369" s="244">
        <v>8</v>
      </c>
      <c r="E369" s="1414" t="s">
        <v>862</v>
      </c>
      <c r="F369" s="1415"/>
      <c r="G369" s="1415"/>
      <c r="H369" s="1415"/>
      <c r="I369" s="1415"/>
      <c r="J369" s="1415"/>
      <c r="K369" s="1415"/>
      <c r="L369" s="1415"/>
      <c r="M369" s="1415"/>
      <c r="N369" s="1415"/>
      <c r="O369" s="1415"/>
      <c r="P369" s="1415"/>
      <c r="Q369" s="1415"/>
      <c r="R369" s="1415"/>
      <c r="S369" s="1415"/>
      <c r="T369" s="1415"/>
      <c r="V369" s="246">
        <v>8</v>
      </c>
      <c r="W369" s="90"/>
      <c r="X369" s="1391"/>
      <c r="Y369" s="1391"/>
      <c r="Z369" s="1391"/>
      <c r="AA369" s="1391"/>
      <c r="AB369" s="1391"/>
      <c r="AC369" s="82"/>
      <c r="AD369" s="245" t="s">
        <v>854</v>
      </c>
      <c r="AE369" s="1397"/>
      <c r="AF369" s="1398"/>
      <c r="AG369" s="1398"/>
      <c r="AH369" s="1398"/>
      <c r="AI369" s="1398"/>
      <c r="AJ369" s="1398"/>
      <c r="AK369" s="1398"/>
      <c r="AL369" s="1399"/>
      <c r="AM369" s="83"/>
    </row>
    <row r="370" spans="2:39" ht="12" x14ac:dyDescent="0.25">
      <c r="B370" s="1417"/>
      <c r="C370" s="1420"/>
      <c r="D370" s="240">
        <v>9</v>
      </c>
      <c r="E370" s="138" t="s">
        <v>863</v>
      </c>
      <c r="F370" s="241"/>
      <c r="G370" s="241"/>
      <c r="H370" s="90"/>
      <c r="I370" s="90"/>
      <c r="J370" s="90"/>
      <c r="K370" s="90"/>
      <c r="L370" s="90"/>
      <c r="M370" s="90"/>
      <c r="N370" s="90"/>
      <c r="O370" s="90"/>
      <c r="P370" s="90"/>
      <c r="Q370" s="90"/>
      <c r="R370" s="90"/>
      <c r="S370" s="90"/>
      <c r="T370" s="90"/>
      <c r="U370" s="90"/>
      <c r="V370" s="115">
        <v>9</v>
      </c>
      <c r="W370" s="90"/>
      <c r="X370" s="1391">
        <v>0</v>
      </c>
      <c r="Y370" s="1391"/>
      <c r="Z370" s="1391"/>
      <c r="AA370" s="1391"/>
      <c r="AB370" s="1391"/>
      <c r="AC370" s="90"/>
      <c r="AD370" s="128" t="s">
        <v>854</v>
      </c>
      <c r="AE370" s="1400"/>
      <c r="AF370" s="1401"/>
      <c r="AG370" s="1401"/>
      <c r="AH370" s="1401"/>
      <c r="AI370" s="1401"/>
      <c r="AJ370" s="1401"/>
      <c r="AK370" s="1401"/>
      <c r="AL370" s="1402"/>
      <c r="AM370" s="83"/>
    </row>
    <row r="371" spans="2:39" ht="12" x14ac:dyDescent="0.25">
      <c r="B371" s="1417"/>
      <c r="C371" s="1420"/>
      <c r="D371" s="240">
        <v>10</v>
      </c>
      <c r="E371" s="136" t="s">
        <v>326</v>
      </c>
      <c r="F371" s="123"/>
      <c r="G371" s="123"/>
      <c r="AE371" s="108">
        <v>10</v>
      </c>
      <c r="AG371" s="1391">
        <v>0</v>
      </c>
      <c r="AH371" s="1391"/>
      <c r="AI371" s="1391"/>
      <c r="AJ371" s="1391"/>
      <c r="AK371" s="1391"/>
      <c r="AL371" s="223" t="s">
        <v>854</v>
      </c>
      <c r="AM371" s="83"/>
    </row>
    <row r="372" spans="2:39" ht="12" x14ac:dyDescent="0.25">
      <c r="B372" s="1417"/>
      <c r="C372" s="1420"/>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391"/>
      <c r="AH372" s="1391"/>
      <c r="AI372" s="1391"/>
      <c r="AJ372" s="1391"/>
      <c r="AK372" s="1391"/>
      <c r="AL372" s="223" t="s">
        <v>854</v>
      </c>
      <c r="AM372" s="83"/>
    </row>
    <row r="373" spans="2:39" x14ac:dyDescent="0.2">
      <c r="B373" s="1417"/>
      <c r="C373" s="1420"/>
      <c r="D373" s="240">
        <v>12</v>
      </c>
      <c r="E373" s="136" t="s">
        <v>328</v>
      </c>
      <c r="AE373" s="1394"/>
      <c r="AF373" s="1395"/>
      <c r="AG373" s="1395"/>
      <c r="AH373" s="1395"/>
      <c r="AI373" s="1395"/>
      <c r="AJ373" s="1395"/>
      <c r="AK373" s="1395"/>
      <c r="AL373" s="1396"/>
      <c r="AM373" s="83"/>
    </row>
    <row r="374" spans="2:39" x14ac:dyDescent="0.2">
      <c r="B374" s="1417"/>
      <c r="C374" s="1420"/>
      <c r="D374" s="1396"/>
      <c r="E374" s="1477" t="s">
        <v>749</v>
      </c>
      <c r="F374" s="281" t="s">
        <v>329</v>
      </c>
      <c r="G374" s="82"/>
      <c r="H374" s="82"/>
      <c r="I374" s="82"/>
      <c r="J374" s="82"/>
      <c r="K374" s="82"/>
      <c r="L374" s="82"/>
      <c r="M374" s="82"/>
      <c r="N374" s="82"/>
      <c r="O374" s="82"/>
      <c r="P374" s="82"/>
      <c r="Q374" s="82"/>
      <c r="R374" s="82"/>
      <c r="S374" s="82"/>
      <c r="T374" s="82"/>
      <c r="U374" s="82"/>
      <c r="V374" s="1477" t="s">
        <v>898</v>
      </c>
      <c r="W374" s="1408"/>
      <c r="X374" s="1409"/>
      <c r="Y374" s="1409"/>
      <c r="Z374" s="1409"/>
      <c r="AA374" s="1409"/>
      <c r="AB374" s="1409"/>
      <c r="AC374" s="1395"/>
      <c r="AD374" s="1406" t="s">
        <v>854</v>
      </c>
      <c r="AE374" s="1397"/>
      <c r="AF374" s="1398"/>
      <c r="AG374" s="1398"/>
      <c r="AH374" s="1398"/>
      <c r="AI374" s="1398"/>
      <c r="AJ374" s="1398"/>
      <c r="AK374" s="1398"/>
      <c r="AL374" s="1399"/>
      <c r="AM374" s="83"/>
    </row>
    <row r="375" spans="2:39" x14ac:dyDescent="0.2">
      <c r="B375" s="1417"/>
      <c r="C375" s="1420"/>
      <c r="D375" s="1399"/>
      <c r="E375" s="1478"/>
      <c r="F375" s="282" t="s">
        <v>865</v>
      </c>
      <c r="G375" s="80"/>
      <c r="H375" s="80"/>
      <c r="I375" s="80"/>
      <c r="J375" s="80"/>
      <c r="K375" s="80"/>
      <c r="L375" s="80"/>
      <c r="M375" s="80"/>
      <c r="N375" s="80"/>
      <c r="O375" s="80"/>
      <c r="P375" s="80"/>
      <c r="Q375" s="80"/>
      <c r="R375" s="80"/>
      <c r="S375" s="80"/>
      <c r="T375" s="80"/>
      <c r="U375" s="80"/>
      <c r="V375" s="1478"/>
      <c r="W375" s="1410"/>
      <c r="X375" s="1411"/>
      <c r="Y375" s="1411"/>
      <c r="Z375" s="1411"/>
      <c r="AA375" s="1411"/>
      <c r="AB375" s="1411"/>
      <c r="AC375" s="1401"/>
      <c r="AD375" s="1407"/>
      <c r="AE375" s="1397"/>
      <c r="AF375" s="1398"/>
      <c r="AG375" s="1398"/>
      <c r="AH375" s="1398"/>
      <c r="AI375" s="1398"/>
      <c r="AJ375" s="1398"/>
      <c r="AK375" s="1398"/>
      <c r="AL375" s="1399"/>
      <c r="AM375" s="83"/>
    </row>
    <row r="376" spans="2:39" x14ac:dyDescent="0.2">
      <c r="B376" s="1417"/>
      <c r="C376" s="1420"/>
      <c r="D376" s="1399"/>
      <c r="E376" s="1477" t="s">
        <v>764</v>
      </c>
      <c r="F376" s="281" t="s">
        <v>330</v>
      </c>
      <c r="G376" s="82"/>
      <c r="H376" s="82"/>
      <c r="I376" s="82"/>
      <c r="J376" s="82"/>
      <c r="K376" s="82"/>
      <c r="L376" s="82"/>
      <c r="M376" s="82"/>
      <c r="N376" s="82"/>
      <c r="O376" s="82"/>
      <c r="P376" s="82"/>
      <c r="Q376" s="82"/>
      <c r="R376" s="82"/>
      <c r="S376" s="82"/>
      <c r="T376" s="82"/>
      <c r="U376" s="82"/>
      <c r="V376" s="1477" t="s">
        <v>899</v>
      </c>
      <c r="W376" s="1408"/>
      <c r="X376" s="1409"/>
      <c r="Y376" s="1409"/>
      <c r="Z376" s="1409"/>
      <c r="AA376" s="1409"/>
      <c r="AB376" s="1409"/>
      <c r="AC376" s="1395"/>
      <c r="AD376" s="1406" t="s">
        <v>854</v>
      </c>
      <c r="AE376" s="1397"/>
      <c r="AF376" s="1398"/>
      <c r="AG376" s="1398"/>
      <c r="AH376" s="1398"/>
      <c r="AI376" s="1398"/>
      <c r="AJ376" s="1398"/>
      <c r="AK376" s="1398"/>
      <c r="AL376" s="1399"/>
      <c r="AM376" s="83"/>
    </row>
    <row r="377" spans="2:39" x14ac:dyDescent="0.2">
      <c r="B377" s="1417"/>
      <c r="C377" s="1420"/>
      <c r="D377" s="1399"/>
      <c r="E377" s="1478"/>
      <c r="F377" s="243" t="s">
        <v>866</v>
      </c>
      <c r="G377" s="80"/>
      <c r="H377" s="80"/>
      <c r="I377" s="80"/>
      <c r="J377" s="80"/>
      <c r="K377" s="80"/>
      <c r="L377" s="80"/>
      <c r="M377" s="80"/>
      <c r="N377" s="80"/>
      <c r="O377" s="80"/>
      <c r="P377" s="80"/>
      <c r="Q377" s="80"/>
      <c r="R377" s="80"/>
      <c r="S377" s="80"/>
      <c r="T377" s="80"/>
      <c r="U377" s="80"/>
      <c r="V377" s="1478"/>
      <c r="W377" s="1410"/>
      <c r="X377" s="1411"/>
      <c r="Y377" s="1411"/>
      <c r="Z377" s="1411"/>
      <c r="AA377" s="1411"/>
      <c r="AB377" s="1411"/>
      <c r="AC377" s="1401"/>
      <c r="AD377" s="1407"/>
      <c r="AE377" s="1400"/>
      <c r="AF377" s="1401"/>
      <c r="AG377" s="1401"/>
      <c r="AH377" s="1401"/>
      <c r="AI377" s="1401"/>
      <c r="AJ377" s="1401"/>
      <c r="AK377" s="1401"/>
      <c r="AL377" s="1402"/>
      <c r="AM377" s="83"/>
    </row>
    <row r="378" spans="2:39" ht="12" x14ac:dyDescent="0.25">
      <c r="B378" s="1417"/>
      <c r="C378" s="1420"/>
      <c r="D378" s="1402"/>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391">
        <v>0</v>
      </c>
      <c r="AH378" s="1391"/>
      <c r="AI378" s="1391"/>
      <c r="AJ378" s="1391"/>
      <c r="AK378" s="1391"/>
      <c r="AL378" s="223" t="s">
        <v>854</v>
      </c>
      <c r="AM378" s="83"/>
    </row>
    <row r="379" spans="2:39" ht="12" x14ac:dyDescent="0.25">
      <c r="B379" s="1417"/>
      <c r="C379" s="1420"/>
      <c r="D379" s="89">
        <v>13</v>
      </c>
      <c r="E379" s="136" t="s">
        <v>331</v>
      </c>
      <c r="AE379" s="108">
        <v>13</v>
      </c>
      <c r="AG379" s="1391">
        <v>0</v>
      </c>
      <c r="AH379" s="1391"/>
      <c r="AI379" s="1391"/>
      <c r="AJ379" s="1391"/>
      <c r="AK379" s="1391"/>
      <c r="AL379" s="223" t="s">
        <v>854</v>
      </c>
      <c r="AM379" s="83"/>
    </row>
    <row r="380" spans="2:39" ht="26.25" customHeight="1" x14ac:dyDescent="0.25">
      <c r="B380" s="1417"/>
      <c r="C380" s="1420"/>
      <c r="D380" s="246">
        <v>14</v>
      </c>
      <c r="E380" s="1414" t="s">
        <v>867</v>
      </c>
      <c r="F380" s="1415"/>
      <c r="G380" s="1415"/>
      <c r="H380" s="1415"/>
      <c r="I380" s="1415"/>
      <c r="J380" s="1415"/>
      <c r="K380" s="1415"/>
      <c r="L380" s="1415"/>
      <c r="M380" s="1415"/>
      <c r="N380" s="1415"/>
      <c r="O380" s="1415"/>
      <c r="P380" s="1415"/>
      <c r="Q380" s="1415"/>
      <c r="R380" s="1415"/>
      <c r="S380" s="1415"/>
      <c r="T380" s="1415"/>
      <c r="U380" s="90"/>
      <c r="V380" s="246">
        <v>14</v>
      </c>
      <c r="W380" s="90"/>
      <c r="X380" s="1391"/>
      <c r="Y380" s="1391"/>
      <c r="Z380" s="1391"/>
      <c r="AA380" s="1391"/>
      <c r="AB380" s="1391"/>
      <c r="AC380" s="90"/>
      <c r="AD380" s="245" t="s">
        <v>854</v>
      </c>
      <c r="AE380" s="1394"/>
      <c r="AF380" s="1395"/>
      <c r="AG380" s="1395"/>
      <c r="AH380" s="1395"/>
      <c r="AI380" s="1395"/>
      <c r="AJ380" s="1395"/>
      <c r="AK380" s="1395"/>
      <c r="AL380" s="1396"/>
      <c r="AM380" s="83"/>
    </row>
    <row r="381" spans="2:39" ht="27" customHeight="1" x14ac:dyDescent="0.25">
      <c r="B381" s="1417"/>
      <c r="C381" s="1420"/>
      <c r="D381" s="246">
        <v>15</v>
      </c>
      <c r="E381" s="1414" t="s">
        <v>868</v>
      </c>
      <c r="F381" s="1415"/>
      <c r="G381" s="1415"/>
      <c r="H381" s="1415"/>
      <c r="I381" s="1415"/>
      <c r="J381" s="1415"/>
      <c r="K381" s="1415"/>
      <c r="L381" s="1415"/>
      <c r="M381" s="1415"/>
      <c r="N381" s="1415"/>
      <c r="O381" s="1415"/>
      <c r="P381" s="1415"/>
      <c r="Q381" s="1415"/>
      <c r="R381" s="1415"/>
      <c r="S381" s="1415"/>
      <c r="T381" s="1415"/>
      <c r="V381" s="246">
        <v>15</v>
      </c>
      <c r="X381" s="1391"/>
      <c r="Y381" s="1391"/>
      <c r="Z381" s="1391"/>
      <c r="AA381" s="1391"/>
      <c r="AB381" s="1391"/>
      <c r="AC381" s="90"/>
      <c r="AD381" s="245" t="s">
        <v>854</v>
      </c>
      <c r="AE381" s="1397"/>
      <c r="AF381" s="1398"/>
      <c r="AG381" s="1398"/>
      <c r="AH381" s="1398"/>
      <c r="AI381" s="1398"/>
      <c r="AJ381" s="1398"/>
      <c r="AK381" s="1398"/>
      <c r="AL381" s="1399"/>
      <c r="AM381" s="83"/>
    </row>
    <row r="382" spans="2:39" ht="25.5" customHeight="1" x14ac:dyDescent="0.25">
      <c r="B382" s="1417"/>
      <c r="C382" s="1420"/>
      <c r="D382" s="246">
        <v>16</v>
      </c>
      <c r="E382" s="1414" t="s">
        <v>869</v>
      </c>
      <c r="F382" s="1415"/>
      <c r="G382" s="1415"/>
      <c r="H382" s="1415"/>
      <c r="I382" s="1415"/>
      <c r="J382" s="1415"/>
      <c r="K382" s="1415"/>
      <c r="L382" s="1415"/>
      <c r="M382" s="1415"/>
      <c r="N382" s="1415"/>
      <c r="O382" s="1415"/>
      <c r="P382" s="1415"/>
      <c r="Q382" s="1415"/>
      <c r="R382" s="1415"/>
      <c r="S382" s="1415"/>
      <c r="T382" s="1415"/>
      <c r="U382" s="90"/>
      <c r="V382" s="246">
        <v>16</v>
      </c>
      <c r="W382" s="90"/>
      <c r="X382" s="1391"/>
      <c r="Y382" s="1391"/>
      <c r="Z382" s="1391"/>
      <c r="AA382" s="1391"/>
      <c r="AB382" s="1391"/>
      <c r="AC382" s="90"/>
      <c r="AD382" s="245" t="s">
        <v>854</v>
      </c>
      <c r="AE382" s="1397"/>
      <c r="AF382" s="1398"/>
      <c r="AG382" s="1398"/>
      <c r="AH382" s="1398"/>
      <c r="AI382" s="1398"/>
      <c r="AJ382" s="1398"/>
      <c r="AK382" s="1398"/>
      <c r="AL382" s="1399"/>
      <c r="AM382" s="83"/>
    </row>
    <row r="383" spans="2:39" ht="24.75" customHeight="1" x14ac:dyDescent="0.25">
      <c r="B383" s="1417"/>
      <c r="C383" s="1420"/>
      <c r="D383" s="246">
        <v>17</v>
      </c>
      <c r="E383" s="1414" t="s">
        <v>870</v>
      </c>
      <c r="F383" s="1415"/>
      <c r="G383" s="1415"/>
      <c r="H383" s="1415"/>
      <c r="I383" s="1415"/>
      <c r="J383" s="1415"/>
      <c r="K383" s="1415"/>
      <c r="L383" s="1415"/>
      <c r="M383" s="1415"/>
      <c r="N383" s="1415"/>
      <c r="O383" s="1415"/>
      <c r="P383" s="1415"/>
      <c r="Q383" s="1415"/>
      <c r="R383" s="1415"/>
      <c r="S383" s="1415"/>
      <c r="T383" s="1415"/>
      <c r="V383" s="246">
        <v>17</v>
      </c>
      <c r="X383" s="1391"/>
      <c r="Y383" s="1391"/>
      <c r="Z383" s="1391"/>
      <c r="AA383" s="1391"/>
      <c r="AB383" s="1391"/>
      <c r="AC383" s="90"/>
      <c r="AD383" s="245" t="s">
        <v>854</v>
      </c>
      <c r="AE383" s="1397"/>
      <c r="AF383" s="1398"/>
      <c r="AG383" s="1398"/>
      <c r="AH383" s="1398"/>
      <c r="AI383" s="1398"/>
      <c r="AJ383" s="1398"/>
      <c r="AK383" s="1398"/>
      <c r="AL383" s="1399"/>
      <c r="AM383" s="83"/>
    </row>
    <row r="384" spans="2:39" ht="39" customHeight="1" x14ac:dyDescent="0.25">
      <c r="B384" s="1417"/>
      <c r="C384" s="1420"/>
      <c r="D384" s="246">
        <v>18</v>
      </c>
      <c r="E384" s="1414" t="s">
        <v>871</v>
      </c>
      <c r="F384" s="1415"/>
      <c r="G384" s="1415"/>
      <c r="H384" s="1415"/>
      <c r="I384" s="1415"/>
      <c r="J384" s="1415"/>
      <c r="K384" s="1415"/>
      <c r="L384" s="1415"/>
      <c r="M384" s="1415"/>
      <c r="N384" s="1415"/>
      <c r="O384" s="1415"/>
      <c r="P384" s="1415"/>
      <c r="Q384" s="1415"/>
      <c r="R384" s="1415"/>
      <c r="S384" s="1415"/>
      <c r="T384" s="1415"/>
      <c r="U384" s="90"/>
      <c r="V384" s="246">
        <v>18</v>
      </c>
      <c r="W384" s="90"/>
      <c r="X384" s="1391"/>
      <c r="Y384" s="1391"/>
      <c r="Z384" s="1391"/>
      <c r="AA384" s="1391"/>
      <c r="AB384" s="1391"/>
      <c r="AC384" s="90"/>
      <c r="AD384" s="245" t="s">
        <v>854</v>
      </c>
      <c r="AE384" s="1397"/>
      <c r="AF384" s="1398"/>
      <c r="AG384" s="1398"/>
      <c r="AH384" s="1398"/>
      <c r="AI384" s="1398"/>
      <c r="AJ384" s="1398"/>
      <c r="AK384" s="1398"/>
      <c r="AL384" s="1399"/>
      <c r="AM384" s="83"/>
    </row>
    <row r="385" spans="2:39" ht="27.75" customHeight="1" x14ac:dyDescent="0.25">
      <c r="B385" s="1417"/>
      <c r="C385" s="1420"/>
      <c r="D385" s="246">
        <v>19</v>
      </c>
      <c r="E385" s="1414" t="s">
        <v>872</v>
      </c>
      <c r="F385" s="1415"/>
      <c r="G385" s="1415"/>
      <c r="H385" s="1415"/>
      <c r="I385" s="1415"/>
      <c r="J385" s="1415"/>
      <c r="K385" s="1415"/>
      <c r="L385" s="1415"/>
      <c r="M385" s="1415"/>
      <c r="N385" s="1415"/>
      <c r="O385" s="1415"/>
      <c r="P385" s="1415"/>
      <c r="Q385" s="1415"/>
      <c r="R385" s="1415"/>
      <c r="S385" s="1415"/>
      <c r="T385" s="1415"/>
      <c r="V385" s="246">
        <v>19</v>
      </c>
      <c r="X385" s="1391"/>
      <c r="Y385" s="1391"/>
      <c r="Z385" s="1391"/>
      <c r="AA385" s="1391"/>
      <c r="AB385" s="1391"/>
      <c r="AC385" s="90"/>
      <c r="AD385" s="245" t="s">
        <v>854</v>
      </c>
      <c r="AE385" s="1397"/>
      <c r="AF385" s="1398"/>
      <c r="AG385" s="1398"/>
      <c r="AH385" s="1398"/>
      <c r="AI385" s="1398"/>
      <c r="AJ385" s="1398"/>
      <c r="AK385" s="1398"/>
      <c r="AL385" s="1399"/>
      <c r="AM385" s="83"/>
    </row>
    <row r="386" spans="2:39" ht="12" customHeight="1" x14ac:dyDescent="0.25">
      <c r="B386" s="1417"/>
      <c r="C386" s="1420"/>
      <c r="D386" s="89">
        <v>20</v>
      </c>
      <c r="E386" s="138" t="s">
        <v>332</v>
      </c>
      <c r="F386" s="90"/>
      <c r="G386" s="90"/>
      <c r="H386" s="90"/>
      <c r="I386" s="90"/>
      <c r="J386" s="90"/>
      <c r="K386" s="90"/>
      <c r="L386" s="90"/>
      <c r="M386" s="90"/>
      <c r="N386" s="90"/>
      <c r="O386" s="90"/>
      <c r="P386" s="90"/>
      <c r="Q386" s="90"/>
      <c r="R386" s="90"/>
      <c r="S386" s="90"/>
      <c r="T386" s="90"/>
      <c r="U386" s="90"/>
      <c r="V386" s="115">
        <v>20</v>
      </c>
      <c r="W386" s="90"/>
      <c r="X386" s="1391"/>
      <c r="Y386" s="1391"/>
      <c r="Z386" s="1391"/>
      <c r="AA386" s="1391"/>
      <c r="AB386" s="1391"/>
      <c r="AC386" s="90"/>
      <c r="AD386" s="245" t="s">
        <v>854</v>
      </c>
      <c r="AE386" s="1397"/>
      <c r="AF386" s="1398"/>
      <c r="AG386" s="1398"/>
      <c r="AH386" s="1398"/>
      <c r="AI386" s="1398"/>
      <c r="AJ386" s="1398"/>
      <c r="AK386" s="1398"/>
      <c r="AL386" s="1399"/>
      <c r="AM386" s="83"/>
    </row>
    <row r="387" spans="2:39" ht="24.75" customHeight="1" x14ac:dyDescent="0.25">
      <c r="B387" s="1417"/>
      <c r="C387" s="1420"/>
      <c r="D387" s="246">
        <v>21</v>
      </c>
      <c r="E387" s="1414" t="s">
        <v>873</v>
      </c>
      <c r="F387" s="1415"/>
      <c r="G387" s="1415"/>
      <c r="H387" s="1415"/>
      <c r="I387" s="1415"/>
      <c r="J387" s="1415"/>
      <c r="K387" s="1415"/>
      <c r="L387" s="1415"/>
      <c r="M387" s="1415"/>
      <c r="N387" s="1415"/>
      <c r="O387" s="1415"/>
      <c r="P387" s="1415"/>
      <c r="Q387" s="1415"/>
      <c r="R387" s="1415"/>
      <c r="S387" s="1415"/>
      <c r="T387" s="1415"/>
      <c r="V387" s="246">
        <v>21</v>
      </c>
      <c r="X387" s="1391"/>
      <c r="Y387" s="1391"/>
      <c r="Z387" s="1391"/>
      <c r="AA387" s="1391"/>
      <c r="AB387" s="1391"/>
      <c r="AC387" s="90"/>
      <c r="AD387" s="245" t="s">
        <v>854</v>
      </c>
      <c r="AE387" s="1397"/>
      <c r="AF387" s="1398"/>
      <c r="AG387" s="1398"/>
      <c r="AH387" s="1398"/>
      <c r="AI387" s="1398"/>
      <c r="AJ387" s="1398"/>
      <c r="AK387" s="1398"/>
      <c r="AL387" s="1399"/>
      <c r="AM387" s="83"/>
    </row>
    <row r="388" spans="2:39" ht="15" customHeight="1" x14ac:dyDescent="0.25">
      <c r="B388" s="1417"/>
      <c r="C388" s="1420"/>
      <c r="D388" s="89">
        <v>22</v>
      </c>
      <c r="E388" s="1412" t="s">
        <v>874</v>
      </c>
      <c r="F388" s="1413"/>
      <c r="G388" s="1413"/>
      <c r="H388" s="1413"/>
      <c r="I388" s="1413"/>
      <c r="J388" s="1413"/>
      <c r="K388" s="1413"/>
      <c r="L388" s="1413"/>
      <c r="M388" s="1413"/>
      <c r="N388" s="1413"/>
      <c r="O388" s="1413"/>
      <c r="P388" s="1413"/>
      <c r="Q388" s="1413"/>
      <c r="R388" s="1413"/>
      <c r="S388" s="1413"/>
      <c r="T388" s="1413"/>
      <c r="U388" s="90"/>
      <c r="V388" s="115">
        <v>22</v>
      </c>
      <c r="W388" s="90"/>
      <c r="X388" s="1391"/>
      <c r="Y388" s="1391"/>
      <c r="Z388" s="1391"/>
      <c r="AA388" s="1391"/>
      <c r="AB388" s="1391"/>
      <c r="AC388" s="90"/>
      <c r="AD388" s="245" t="s">
        <v>854</v>
      </c>
      <c r="AE388" s="1397"/>
      <c r="AF388" s="1398"/>
      <c r="AG388" s="1398"/>
      <c r="AH388" s="1398"/>
      <c r="AI388" s="1398"/>
      <c r="AJ388" s="1398"/>
      <c r="AK388" s="1398"/>
      <c r="AL388" s="1399"/>
      <c r="AM388" s="83"/>
    </row>
    <row r="389" spans="2:39" ht="25.5" customHeight="1" x14ac:dyDescent="0.25">
      <c r="B389" s="1417"/>
      <c r="C389" s="1420"/>
      <c r="D389" s="246">
        <v>23</v>
      </c>
      <c r="E389" s="1414" t="s">
        <v>875</v>
      </c>
      <c r="F389" s="1415"/>
      <c r="G389" s="1415"/>
      <c r="H389" s="1415"/>
      <c r="I389" s="1415"/>
      <c r="J389" s="1415"/>
      <c r="K389" s="1415"/>
      <c r="L389" s="1415"/>
      <c r="M389" s="1415"/>
      <c r="N389" s="1415"/>
      <c r="O389" s="1415"/>
      <c r="P389" s="1415"/>
      <c r="Q389" s="1415"/>
      <c r="R389" s="1415"/>
      <c r="S389" s="1415"/>
      <c r="T389" s="1415"/>
      <c r="V389" s="246">
        <v>23</v>
      </c>
      <c r="X389" s="1391"/>
      <c r="Y389" s="1391"/>
      <c r="Z389" s="1391"/>
      <c r="AA389" s="1391"/>
      <c r="AB389" s="1391"/>
      <c r="AC389" s="90"/>
      <c r="AD389" s="245" t="s">
        <v>854</v>
      </c>
      <c r="AE389" s="1400"/>
      <c r="AF389" s="1401"/>
      <c r="AG389" s="1401"/>
      <c r="AH389" s="1401"/>
      <c r="AI389" s="1401"/>
      <c r="AJ389" s="1401"/>
      <c r="AK389" s="1401"/>
      <c r="AL389" s="1402"/>
      <c r="AM389" s="83"/>
    </row>
    <row r="390" spans="2:39" ht="12" x14ac:dyDescent="0.25">
      <c r="B390" s="1417"/>
      <c r="C390" s="1420"/>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391">
        <v>0</v>
      </c>
      <c r="AH390" s="1391"/>
      <c r="AI390" s="1391"/>
      <c r="AJ390" s="1391"/>
      <c r="AK390" s="1391"/>
      <c r="AL390" s="223" t="s">
        <v>854</v>
      </c>
      <c r="AM390" s="83"/>
    </row>
    <row r="391" spans="2:39" ht="12" x14ac:dyDescent="0.25">
      <c r="B391" s="1417"/>
      <c r="C391" s="1420"/>
      <c r="D391" s="89">
        <v>25</v>
      </c>
      <c r="E391" s="1414" t="s">
        <v>333</v>
      </c>
      <c r="F391" s="1415"/>
      <c r="G391" s="1415"/>
      <c r="H391" s="1415"/>
      <c r="I391" s="1415"/>
      <c r="J391" s="1415"/>
      <c r="K391" s="1415"/>
      <c r="L391" s="1415"/>
      <c r="M391" s="1415"/>
      <c r="N391" s="1415"/>
      <c r="O391" s="1415"/>
      <c r="P391" s="1415"/>
      <c r="Q391" s="1415"/>
      <c r="R391" s="1415"/>
      <c r="S391" s="1415"/>
      <c r="T391" s="1415"/>
      <c r="V391" s="108">
        <v>25</v>
      </c>
      <c r="X391" s="1391"/>
      <c r="Y391" s="1391"/>
      <c r="Z391" s="1391"/>
      <c r="AA391" s="1391"/>
      <c r="AB391" s="1391"/>
      <c r="AC391" s="90"/>
      <c r="AD391" s="245" t="s">
        <v>854</v>
      </c>
      <c r="AE391" s="1394"/>
      <c r="AF391" s="1395"/>
      <c r="AG391" s="1395"/>
      <c r="AH391" s="1395"/>
      <c r="AI391" s="1395"/>
      <c r="AJ391" s="1395"/>
      <c r="AK391" s="1395"/>
      <c r="AL391" s="1396"/>
      <c r="AM391" s="83"/>
    </row>
    <row r="392" spans="2:39" ht="38.25" customHeight="1" x14ac:dyDescent="0.25">
      <c r="B392" s="1417"/>
      <c r="C392" s="1420"/>
      <c r="D392" s="246">
        <v>26</v>
      </c>
      <c r="E392" s="1414" t="s">
        <v>902</v>
      </c>
      <c r="F392" s="1415"/>
      <c r="G392" s="1415"/>
      <c r="H392" s="1415"/>
      <c r="I392" s="1415"/>
      <c r="J392" s="1415"/>
      <c r="K392" s="1415"/>
      <c r="L392" s="1415"/>
      <c r="M392" s="1415"/>
      <c r="N392" s="1415"/>
      <c r="O392" s="1415"/>
      <c r="P392" s="1415"/>
      <c r="Q392" s="1415"/>
      <c r="R392" s="1415"/>
      <c r="S392" s="1415"/>
      <c r="T392" s="1415"/>
      <c r="U392" s="90"/>
      <c r="V392" s="246">
        <v>26</v>
      </c>
      <c r="W392" s="90"/>
      <c r="X392" s="1391"/>
      <c r="Y392" s="1391"/>
      <c r="Z392" s="1391"/>
      <c r="AA392" s="1391"/>
      <c r="AB392" s="1391"/>
      <c r="AC392" s="90"/>
      <c r="AD392" s="245" t="s">
        <v>854</v>
      </c>
      <c r="AE392" s="1397"/>
      <c r="AF392" s="1398"/>
      <c r="AG392" s="1398"/>
      <c r="AH392" s="1398"/>
      <c r="AI392" s="1398"/>
      <c r="AJ392" s="1398"/>
      <c r="AK392" s="1398"/>
      <c r="AL392" s="1399"/>
      <c r="AM392" s="83"/>
    </row>
    <row r="393" spans="2:39" ht="39.75" customHeight="1" x14ac:dyDescent="0.25">
      <c r="B393" s="1417"/>
      <c r="C393" s="1420"/>
      <c r="D393" s="246">
        <v>27</v>
      </c>
      <c r="E393" s="1414" t="s">
        <v>903</v>
      </c>
      <c r="F393" s="1415"/>
      <c r="G393" s="1415"/>
      <c r="H393" s="1415"/>
      <c r="I393" s="1415"/>
      <c r="J393" s="1415"/>
      <c r="K393" s="1415"/>
      <c r="L393" s="1415"/>
      <c r="M393" s="1415"/>
      <c r="N393" s="1415"/>
      <c r="O393" s="1415"/>
      <c r="P393" s="1415"/>
      <c r="Q393" s="1415"/>
      <c r="R393" s="1415"/>
      <c r="S393" s="1415"/>
      <c r="T393" s="1415"/>
      <c r="V393" s="246">
        <v>27</v>
      </c>
      <c r="X393" s="1391"/>
      <c r="Y393" s="1391"/>
      <c r="Z393" s="1391"/>
      <c r="AA393" s="1391"/>
      <c r="AB393" s="1391"/>
      <c r="AC393" s="90"/>
      <c r="AD393" s="245" t="s">
        <v>854</v>
      </c>
      <c r="AE393" s="1397"/>
      <c r="AF393" s="1398"/>
      <c r="AG393" s="1398"/>
      <c r="AH393" s="1398"/>
      <c r="AI393" s="1398"/>
      <c r="AJ393" s="1398"/>
      <c r="AK393" s="1398"/>
      <c r="AL393" s="1399"/>
      <c r="AM393" s="83"/>
    </row>
    <row r="394" spans="2:39" ht="36" customHeight="1" x14ac:dyDescent="0.25">
      <c r="B394" s="1417"/>
      <c r="C394" s="1420"/>
      <c r="D394" s="246">
        <v>28</v>
      </c>
      <c r="E394" s="1414" t="s">
        <v>904</v>
      </c>
      <c r="F394" s="1415"/>
      <c r="G394" s="1415"/>
      <c r="H394" s="1415"/>
      <c r="I394" s="1415"/>
      <c r="J394" s="1415"/>
      <c r="K394" s="1415"/>
      <c r="L394" s="1415"/>
      <c r="M394" s="1415"/>
      <c r="N394" s="1415"/>
      <c r="O394" s="1415"/>
      <c r="P394" s="1415"/>
      <c r="Q394" s="1415"/>
      <c r="R394" s="1415"/>
      <c r="S394" s="1415"/>
      <c r="T394" s="1415"/>
      <c r="U394" s="90"/>
      <c r="V394" s="246">
        <v>28</v>
      </c>
      <c r="W394" s="90"/>
      <c r="X394" s="1391"/>
      <c r="Y394" s="1391"/>
      <c r="Z394" s="1391"/>
      <c r="AA394" s="1391"/>
      <c r="AB394" s="1391"/>
      <c r="AC394" s="90"/>
      <c r="AD394" s="245" t="s">
        <v>854</v>
      </c>
      <c r="AE394" s="1397"/>
      <c r="AF394" s="1398"/>
      <c r="AG394" s="1398"/>
      <c r="AH394" s="1398"/>
      <c r="AI394" s="1398"/>
      <c r="AJ394" s="1398"/>
      <c r="AK394" s="1398"/>
      <c r="AL394" s="1399"/>
      <c r="AM394" s="83"/>
    </row>
    <row r="395" spans="2:39" ht="14.25" customHeight="1" x14ac:dyDescent="0.2">
      <c r="B395" s="1417"/>
      <c r="C395" s="1420"/>
      <c r="D395" s="116">
        <v>29</v>
      </c>
      <c r="E395" s="136" t="s">
        <v>334</v>
      </c>
      <c r="AE395" s="1397"/>
      <c r="AF395" s="1398"/>
      <c r="AG395" s="1398"/>
      <c r="AH395" s="1398"/>
      <c r="AI395" s="1398"/>
      <c r="AJ395" s="1398"/>
      <c r="AK395" s="1398"/>
      <c r="AL395" s="1399"/>
      <c r="AM395" s="83"/>
    </row>
    <row r="396" spans="2:39" ht="12" x14ac:dyDescent="0.25">
      <c r="B396" s="1417"/>
      <c r="C396" s="1420"/>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391"/>
      <c r="Y396" s="1391"/>
      <c r="Z396" s="1391"/>
      <c r="AA396" s="1391"/>
      <c r="AB396" s="1391"/>
      <c r="AC396" s="90"/>
      <c r="AD396" s="245" t="s">
        <v>854</v>
      </c>
      <c r="AE396" s="1397"/>
      <c r="AF396" s="1398"/>
      <c r="AG396" s="1398"/>
      <c r="AH396" s="1398"/>
      <c r="AI396" s="1398"/>
      <c r="AJ396" s="1398"/>
      <c r="AK396" s="1398"/>
      <c r="AL396" s="1399"/>
      <c r="AM396" s="83"/>
    </row>
    <row r="397" spans="2:39" ht="12" x14ac:dyDescent="0.25">
      <c r="B397" s="1417"/>
      <c r="C397" s="1420"/>
      <c r="D397" s="84"/>
      <c r="E397" s="109" t="s">
        <v>615</v>
      </c>
      <c r="F397" s="136" t="s">
        <v>335</v>
      </c>
      <c r="V397" s="108" t="s">
        <v>338</v>
      </c>
      <c r="X397" s="1391"/>
      <c r="Y397" s="1391"/>
      <c r="Z397" s="1391"/>
      <c r="AA397" s="1391"/>
      <c r="AB397" s="1391"/>
      <c r="AC397" s="90"/>
      <c r="AD397" s="245" t="s">
        <v>854</v>
      </c>
      <c r="AE397" s="1397"/>
      <c r="AF397" s="1398"/>
      <c r="AG397" s="1398"/>
      <c r="AH397" s="1398"/>
      <c r="AI397" s="1398"/>
      <c r="AJ397" s="1398"/>
      <c r="AK397" s="1398"/>
      <c r="AL397" s="1399"/>
      <c r="AM397" s="83"/>
    </row>
    <row r="398" spans="2:39" ht="12" x14ac:dyDescent="0.25">
      <c r="B398" s="1417"/>
      <c r="C398" s="1420"/>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391"/>
      <c r="Y398" s="1391"/>
      <c r="Z398" s="1391"/>
      <c r="AA398" s="1391"/>
      <c r="AB398" s="1391"/>
      <c r="AC398" s="90"/>
      <c r="AD398" s="245" t="s">
        <v>854</v>
      </c>
      <c r="AE398" s="1397"/>
      <c r="AF398" s="1398"/>
      <c r="AG398" s="1398"/>
      <c r="AH398" s="1398"/>
      <c r="AI398" s="1398"/>
      <c r="AJ398" s="1398"/>
      <c r="AK398" s="1398"/>
      <c r="AL398" s="1399"/>
      <c r="AM398" s="83"/>
    </row>
    <row r="399" spans="2:39" ht="12" x14ac:dyDescent="0.25">
      <c r="B399" s="1417"/>
      <c r="C399" s="1420"/>
      <c r="D399" s="89">
        <v>30</v>
      </c>
      <c r="E399" s="154" t="s">
        <v>336</v>
      </c>
      <c r="F399" s="82"/>
      <c r="G399" s="82"/>
      <c r="H399" s="82"/>
      <c r="I399" s="82"/>
      <c r="J399" s="82"/>
      <c r="K399" s="82"/>
      <c r="L399" s="82"/>
      <c r="M399" s="82"/>
      <c r="N399" s="82"/>
      <c r="O399" s="82"/>
      <c r="P399" s="82"/>
      <c r="Q399" s="82"/>
      <c r="R399" s="82"/>
      <c r="S399" s="82"/>
      <c r="T399" s="82"/>
      <c r="U399" s="82"/>
      <c r="V399" s="107">
        <v>30</v>
      </c>
      <c r="W399" s="82"/>
      <c r="X399" s="1391"/>
      <c r="Y399" s="1391"/>
      <c r="Z399" s="1391"/>
      <c r="AA399" s="1391"/>
      <c r="AB399" s="1391"/>
      <c r="AC399" s="90"/>
      <c r="AD399" s="245" t="s">
        <v>854</v>
      </c>
      <c r="AE399" s="1400"/>
      <c r="AF399" s="1401"/>
      <c r="AG399" s="1401"/>
      <c r="AH399" s="1401"/>
      <c r="AI399" s="1401"/>
      <c r="AJ399" s="1401"/>
      <c r="AK399" s="1401"/>
      <c r="AL399" s="1402"/>
      <c r="AM399" s="83"/>
    </row>
    <row r="400" spans="2:39" ht="12" x14ac:dyDescent="0.25">
      <c r="B400" s="1417"/>
      <c r="C400" s="1420"/>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391">
        <v>0</v>
      </c>
      <c r="AH400" s="1391"/>
      <c r="AI400" s="1391"/>
      <c r="AJ400" s="1391"/>
      <c r="AK400" s="1391"/>
      <c r="AL400" s="223" t="s">
        <v>854</v>
      </c>
      <c r="AM400" s="83"/>
    </row>
    <row r="401" spans="2:39" ht="12" x14ac:dyDescent="0.25">
      <c r="B401" s="1417"/>
      <c r="C401" s="1420"/>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391">
        <v>0</v>
      </c>
      <c r="AH401" s="1391"/>
      <c r="AI401" s="1391"/>
      <c r="AJ401" s="1391"/>
      <c r="AK401" s="1391"/>
      <c r="AL401" s="223" t="s">
        <v>854</v>
      </c>
      <c r="AM401" s="83"/>
    </row>
    <row r="402" spans="2:39" x14ac:dyDescent="0.2">
      <c r="B402" s="1417"/>
      <c r="C402" s="1420"/>
      <c r="D402" s="89">
        <v>33</v>
      </c>
      <c r="E402" s="136" t="s">
        <v>344</v>
      </c>
      <c r="AE402" s="1394"/>
      <c r="AF402" s="1395"/>
      <c r="AG402" s="1395"/>
      <c r="AH402" s="1395"/>
      <c r="AI402" s="1395"/>
      <c r="AJ402" s="1395"/>
      <c r="AK402" s="1395"/>
      <c r="AL402" s="1396"/>
      <c r="AM402" s="83"/>
    </row>
    <row r="403" spans="2:39" ht="12" x14ac:dyDescent="0.25">
      <c r="B403" s="1417"/>
      <c r="C403" s="1420"/>
      <c r="D403" s="1396"/>
      <c r="E403" s="115" t="s">
        <v>749</v>
      </c>
      <c r="F403" s="271" t="s">
        <v>345</v>
      </c>
      <c r="G403" s="90"/>
      <c r="H403" s="90"/>
      <c r="I403" s="90"/>
      <c r="J403" s="90"/>
      <c r="K403" s="90"/>
      <c r="L403" s="90"/>
      <c r="M403" s="90"/>
      <c r="N403" s="90"/>
      <c r="O403" s="90"/>
      <c r="P403" s="90"/>
      <c r="Q403" s="90"/>
      <c r="R403" s="90"/>
      <c r="S403" s="90"/>
      <c r="T403" s="90"/>
      <c r="U403" s="89"/>
      <c r="V403" s="148" t="s">
        <v>351</v>
      </c>
      <c r="W403" s="90"/>
      <c r="X403" s="1434"/>
      <c r="Y403" s="1434"/>
      <c r="Z403" s="1434"/>
      <c r="AA403" s="1434"/>
      <c r="AB403" s="1434"/>
      <c r="AC403" s="90"/>
      <c r="AD403" s="245" t="s">
        <v>854</v>
      </c>
      <c r="AE403" s="1397"/>
      <c r="AF403" s="1398"/>
      <c r="AG403" s="1398"/>
      <c r="AH403" s="1398"/>
      <c r="AI403" s="1398"/>
      <c r="AJ403" s="1398"/>
      <c r="AK403" s="1398"/>
      <c r="AL403" s="1399"/>
      <c r="AM403" s="83"/>
    </row>
    <row r="404" spans="2:39" ht="12" x14ac:dyDescent="0.25">
      <c r="B404" s="1417"/>
      <c r="C404" s="1420"/>
      <c r="D404" s="1399"/>
      <c r="E404" s="115" t="s">
        <v>764</v>
      </c>
      <c r="F404" s="276" t="s">
        <v>346</v>
      </c>
      <c r="V404" s="153" t="s">
        <v>352</v>
      </c>
      <c r="X404" s="1434"/>
      <c r="Y404" s="1434"/>
      <c r="Z404" s="1434"/>
      <c r="AA404" s="1434"/>
      <c r="AB404" s="1434"/>
      <c r="AC404" s="90"/>
      <c r="AD404" s="245" t="s">
        <v>854</v>
      </c>
      <c r="AE404" s="1397"/>
      <c r="AF404" s="1398"/>
      <c r="AG404" s="1398"/>
      <c r="AH404" s="1398"/>
      <c r="AI404" s="1398"/>
      <c r="AJ404" s="1398"/>
      <c r="AK404" s="1398"/>
      <c r="AL404" s="1399"/>
      <c r="AM404" s="83"/>
    </row>
    <row r="405" spans="2:39" ht="12" x14ac:dyDescent="0.25">
      <c r="B405" s="1417"/>
      <c r="C405" s="1420"/>
      <c r="D405" s="1399"/>
      <c r="E405" s="115" t="s">
        <v>765</v>
      </c>
      <c r="F405" s="271" t="s">
        <v>347</v>
      </c>
      <c r="G405" s="90"/>
      <c r="H405" s="90"/>
      <c r="I405" s="90"/>
      <c r="J405" s="90"/>
      <c r="K405" s="90"/>
      <c r="L405" s="90"/>
      <c r="M405" s="90"/>
      <c r="N405" s="90"/>
      <c r="O405" s="90"/>
      <c r="P405" s="90"/>
      <c r="Q405" s="90"/>
      <c r="R405" s="90"/>
      <c r="S405" s="90"/>
      <c r="T405" s="90"/>
      <c r="U405" s="89"/>
      <c r="V405" s="148" t="s">
        <v>353</v>
      </c>
      <c r="W405" s="90"/>
      <c r="X405" s="1434"/>
      <c r="Y405" s="1434"/>
      <c r="Z405" s="1434"/>
      <c r="AA405" s="1434"/>
      <c r="AB405" s="1434"/>
      <c r="AC405" s="90"/>
      <c r="AD405" s="245" t="s">
        <v>854</v>
      </c>
      <c r="AE405" s="1397"/>
      <c r="AF405" s="1398"/>
      <c r="AG405" s="1398"/>
      <c r="AH405" s="1398"/>
      <c r="AI405" s="1398"/>
      <c r="AJ405" s="1398"/>
      <c r="AK405" s="1398"/>
      <c r="AL405" s="1399"/>
      <c r="AM405" s="83"/>
    </row>
    <row r="406" spans="2:39" ht="12" x14ac:dyDescent="0.25">
      <c r="B406" s="1417"/>
      <c r="C406" s="1420"/>
      <c r="D406" s="1399"/>
      <c r="E406" s="115" t="s">
        <v>766</v>
      </c>
      <c r="F406" s="136" t="s">
        <v>348</v>
      </c>
      <c r="V406" s="153" t="s">
        <v>354</v>
      </c>
      <c r="X406" s="1391"/>
      <c r="Y406" s="1391"/>
      <c r="Z406" s="1391"/>
      <c r="AA406" s="1391"/>
      <c r="AB406" s="1391"/>
      <c r="AC406" s="90"/>
      <c r="AD406" s="245" t="s">
        <v>854</v>
      </c>
      <c r="AE406" s="1397"/>
      <c r="AF406" s="1398"/>
      <c r="AG406" s="1398"/>
      <c r="AH406" s="1398"/>
      <c r="AI406" s="1398"/>
      <c r="AJ406" s="1398"/>
      <c r="AK406" s="1398"/>
      <c r="AL406" s="1399"/>
      <c r="AM406" s="83"/>
    </row>
    <row r="407" spans="2:39" ht="12" x14ac:dyDescent="0.25">
      <c r="B407" s="1417"/>
      <c r="C407" s="1420"/>
      <c r="D407" s="1399"/>
      <c r="E407" s="115" t="s">
        <v>767</v>
      </c>
      <c r="F407" s="138" t="s">
        <v>349</v>
      </c>
      <c r="G407" s="90"/>
      <c r="H407" s="90"/>
      <c r="I407" s="90"/>
      <c r="J407" s="90"/>
      <c r="K407" s="90"/>
      <c r="L407" s="90"/>
      <c r="M407" s="90"/>
      <c r="N407" s="90"/>
      <c r="O407" s="90"/>
      <c r="P407" s="90"/>
      <c r="Q407" s="90"/>
      <c r="R407" s="90"/>
      <c r="S407" s="90"/>
      <c r="T407" s="90"/>
      <c r="U407" s="89"/>
      <c r="V407" s="148" t="s">
        <v>355</v>
      </c>
      <c r="W407" s="90"/>
      <c r="X407" s="1391"/>
      <c r="Y407" s="1391"/>
      <c r="Z407" s="1391"/>
      <c r="AA407" s="1391"/>
      <c r="AB407" s="1391"/>
      <c r="AC407" s="90"/>
      <c r="AD407" s="245" t="s">
        <v>854</v>
      </c>
      <c r="AE407" s="1397"/>
      <c r="AF407" s="1398"/>
      <c r="AG407" s="1398"/>
      <c r="AH407" s="1398"/>
      <c r="AI407" s="1398"/>
      <c r="AJ407" s="1398"/>
      <c r="AK407" s="1398"/>
      <c r="AL407" s="1399"/>
      <c r="AM407" s="83"/>
    </row>
    <row r="408" spans="2:39" ht="12" x14ac:dyDescent="0.25">
      <c r="B408" s="1418"/>
      <c r="C408" s="1421"/>
      <c r="D408" s="1402"/>
      <c r="E408" s="115" t="s">
        <v>803</v>
      </c>
      <c r="F408" s="138" t="s">
        <v>350</v>
      </c>
      <c r="G408" s="90"/>
      <c r="H408" s="90"/>
      <c r="I408" s="90"/>
      <c r="J408" s="90"/>
      <c r="K408" s="90"/>
      <c r="L408" s="90"/>
      <c r="M408" s="90"/>
      <c r="N408" s="90"/>
      <c r="O408" s="90"/>
      <c r="P408" s="90"/>
      <c r="Q408" s="90"/>
      <c r="R408" s="90"/>
      <c r="S408" s="90"/>
      <c r="T408" s="90"/>
      <c r="U408" s="89"/>
      <c r="V408" s="148" t="s">
        <v>356</v>
      </c>
      <c r="W408" s="90"/>
      <c r="X408" s="1391"/>
      <c r="Y408" s="1391"/>
      <c r="Z408" s="1391"/>
      <c r="AA408" s="1391"/>
      <c r="AB408" s="1391"/>
      <c r="AC408" s="90"/>
      <c r="AD408" s="245" t="s">
        <v>854</v>
      </c>
      <c r="AE408" s="1400"/>
      <c r="AF408" s="1401"/>
      <c r="AG408" s="1401"/>
      <c r="AH408" s="1401"/>
      <c r="AI408" s="1401"/>
      <c r="AJ408" s="1401"/>
      <c r="AK408" s="1401"/>
      <c r="AL408" s="1402"/>
      <c r="AM408" s="83"/>
    </row>
    <row r="409" spans="2:39" x14ac:dyDescent="0.2">
      <c r="AE409" s="125" t="s">
        <v>492</v>
      </c>
      <c r="AF409" s="1403" t="s">
        <v>907</v>
      </c>
      <c r="AG409" s="1403"/>
      <c r="AH409" s="1403"/>
      <c r="AI409" s="1403"/>
      <c r="AJ409" s="132" t="s">
        <v>897</v>
      </c>
      <c r="AK409" s="131"/>
      <c r="AL409" s="133">
        <v>9.06</v>
      </c>
    </row>
    <row r="410" spans="2:39" ht="12" x14ac:dyDescent="0.25">
      <c r="B410" s="1396"/>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391"/>
      <c r="Y410" s="1391"/>
      <c r="Z410" s="1391"/>
      <c r="AA410" s="1391"/>
      <c r="AB410" s="1391"/>
      <c r="AC410" s="90"/>
      <c r="AD410" s="245" t="s">
        <v>854</v>
      </c>
      <c r="AE410" s="1394"/>
      <c r="AF410" s="1395"/>
      <c r="AG410" s="1395"/>
      <c r="AH410" s="1395"/>
      <c r="AI410" s="1395"/>
      <c r="AJ410" s="1395"/>
      <c r="AK410" s="1395"/>
      <c r="AL410" s="1396"/>
      <c r="AM410" s="83"/>
    </row>
    <row r="411" spans="2:39" ht="12" x14ac:dyDescent="0.25">
      <c r="B411" s="1399"/>
      <c r="C411" s="1450"/>
      <c r="D411" s="1399"/>
      <c r="E411" s="148" t="s">
        <v>358</v>
      </c>
      <c r="F411" s="140" t="s">
        <v>359</v>
      </c>
      <c r="G411" s="90"/>
      <c r="H411" s="90"/>
      <c r="I411" s="90"/>
      <c r="J411" s="90"/>
      <c r="K411" s="90"/>
      <c r="L411" s="90"/>
      <c r="M411" s="90"/>
      <c r="N411" s="90"/>
      <c r="O411" s="90"/>
      <c r="P411" s="90"/>
      <c r="Q411" s="90"/>
      <c r="R411" s="90"/>
      <c r="S411" s="90"/>
      <c r="T411" s="90"/>
      <c r="U411" s="89"/>
      <c r="V411" s="264" t="s">
        <v>878</v>
      </c>
      <c r="W411" s="90"/>
      <c r="X411" s="1391"/>
      <c r="Y411" s="1391"/>
      <c r="Z411" s="1391"/>
      <c r="AA411" s="1391"/>
      <c r="AB411" s="1391"/>
      <c r="AC411" s="90"/>
      <c r="AD411" s="245" t="s">
        <v>854</v>
      </c>
      <c r="AE411" s="1397"/>
      <c r="AF411" s="1398"/>
      <c r="AG411" s="1398"/>
      <c r="AH411" s="1398"/>
      <c r="AI411" s="1398"/>
      <c r="AJ411" s="1398"/>
      <c r="AK411" s="1398"/>
      <c r="AL411" s="1399"/>
      <c r="AM411" s="83"/>
    </row>
    <row r="412" spans="2:39" ht="12" x14ac:dyDescent="0.25">
      <c r="B412" s="1399"/>
      <c r="C412" s="1450"/>
      <c r="D412" s="1399"/>
      <c r="E412" s="148" t="s">
        <v>806</v>
      </c>
      <c r="F412" s="152" t="s">
        <v>360</v>
      </c>
      <c r="V412" s="239" t="s">
        <v>361</v>
      </c>
      <c r="X412" s="1391"/>
      <c r="Y412" s="1391"/>
      <c r="Z412" s="1391"/>
      <c r="AA412" s="1391"/>
      <c r="AB412" s="1391"/>
      <c r="AC412" s="90"/>
      <c r="AD412" s="245" t="s">
        <v>854</v>
      </c>
      <c r="AE412" s="1397"/>
      <c r="AF412" s="1398"/>
      <c r="AG412" s="1398"/>
      <c r="AH412" s="1398"/>
      <c r="AI412" s="1398"/>
      <c r="AJ412" s="1398"/>
      <c r="AK412" s="1398"/>
      <c r="AL412" s="1399"/>
      <c r="AM412" s="83"/>
    </row>
    <row r="413" spans="2:39" ht="12" x14ac:dyDescent="0.25">
      <c r="B413" s="1399"/>
      <c r="C413" s="1450"/>
      <c r="D413" s="1399"/>
      <c r="E413" s="148" t="s">
        <v>807</v>
      </c>
      <c r="F413" s="140" t="s">
        <v>877</v>
      </c>
      <c r="G413" s="90"/>
      <c r="H413" s="90"/>
      <c r="I413" s="90"/>
      <c r="J413" s="90"/>
      <c r="K413" s="90"/>
      <c r="L413" s="90"/>
      <c r="M413" s="90"/>
      <c r="N413" s="90"/>
      <c r="O413" s="90"/>
      <c r="P413" s="90"/>
      <c r="Q413" s="90"/>
      <c r="R413" s="90"/>
      <c r="S413" s="90"/>
      <c r="T413" s="90"/>
      <c r="U413" s="89"/>
      <c r="V413" s="199" t="s">
        <v>362</v>
      </c>
      <c r="W413" s="90"/>
      <c r="X413" s="1391"/>
      <c r="Y413" s="1391"/>
      <c r="Z413" s="1391"/>
      <c r="AA413" s="1391"/>
      <c r="AB413" s="1391"/>
      <c r="AC413" s="90"/>
      <c r="AD413" s="245" t="s">
        <v>854</v>
      </c>
      <c r="AE413" s="1397"/>
      <c r="AF413" s="1398"/>
      <c r="AG413" s="1398"/>
      <c r="AH413" s="1398"/>
      <c r="AI413" s="1398"/>
      <c r="AJ413" s="1398"/>
      <c r="AK413" s="1398"/>
      <c r="AL413" s="1399"/>
      <c r="AM413" s="83"/>
    </row>
    <row r="414" spans="2:39" ht="12" x14ac:dyDescent="0.25">
      <c r="B414" s="1399"/>
      <c r="C414" s="1450"/>
      <c r="D414" s="1399"/>
      <c r="E414" s="148" t="s">
        <v>808</v>
      </c>
      <c r="F414" s="152" t="s">
        <v>363</v>
      </c>
      <c r="U414" s="84"/>
      <c r="V414" s="239" t="s">
        <v>364</v>
      </c>
      <c r="X414" s="1391"/>
      <c r="Y414" s="1391"/>
      <c r="Z414" s="1391"/>
      <c r="AA414" s="1391"/>
      <c r="AB414" s="1391"/>
      <c r="AC414" s="90"/>
      <c r="AD414" s="245" t="s">
        <v>854</v>
      </c>
      <c r="AE414" s="1400"/>
      <c r="AF414" s="1401"/>
      <c r="AG414" s="1401"/>
      <c r="AH414" s="1401"/>
      <c r="AI414" s="1401"/>
      <c r="AJ414" s="1401"/>
      <c r="AK414" s="1401"/>
      <c r="AL414" s="1402"/>
      <c r="AM414" s="83"/>
    </row>
    <row r="415" spans="2:39" ht="12" x14ac:dyDescent="0.25">
      <c r="B415" s="1399"/>
      <c r="C415" s="1450"/>
      <c r="D415" s="1402"/>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391">
        <v>0</v>
      </c>
      <c r="AH415" s="1391"/>
      <c r="AI415" s="1391"/>
      <c r="AJ415" s="1391"/>
      <c r="AK415" s="1391"/>
      <c r="AL415" s="223" t="s">
        <v>854</v>
      </c>
      <c r="AM415" s="83"/>
    </row>
    <row r="416" spans="2:39" ht="12" x14ac:dyDescent="0.25">
      <c r="B416" s="1399"/>
      <c r="C416" s="1450"/>
      <c r="D416" s="213">
        <v>34</v>
      </c>
      <c r="E416" s="154" t="s">
        <v>367</v>
      </c>
      <c r="F416" s="136"/>
      <c r="AE416" s="99">
        <v>34</v>
      </c>
      <c r="AG416" s="1391">
        <v>0</v>
      </c>
      <c r="AH416" s="1391"/>
      <c r="AI416" s="1391"/>
      <c r="AJ416" s="1391"/>
      <c r="AK416" s="1391"/>
      <c r="AL416" s="223" t="s">
        <v>854</v>
      </c>
      <c r="AM416" s="83"/>
    </row>
    <row r="417" spans="2:39" x14ac:dyDescent="0.2">
      <c r="B417" s="1399"/>
      <c r="C417" s="1450"/>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394"/>
      <c r="AF417" s="1395"/>
      <c r="AG417" s="1395"/>
      <c r="AH417" s="1395"/>
      <c r="AI417" s="1395"/>
      <c r="AJ417" s="1395"/>
      <c r="AK417" s="1395"/>
      <c r="AL417" s="1396"/>
      <c r="AM417" s="83"/>
    </row>
    <row r="418" spans="2:39" ht="12" x14ac:dyDescent="0.25">
      <c r="B418" s="1399"/>
      <c r="C418" s="1450"/>
      <c r="D418" s="1461"/>
      <c r="E418" s="145" t="s">
        <v>749</v>
      </c>
      <c r="F418" s="152" t="s">
        <v>432</v>
      </c>
      <c r="V418" s="148" t="s">
        <v>607</v>
      </c>
      <c r="W418" s="90"/>
      <c r="X418" s="1391"/>
      <c r="Y418" s="1391"/>
      <c r="Z418" s="1391"/>
      <c r="AA418" s="1391"/>
      <c r="AB418" s="1391"/>
      <c r="AC418" s="90"/>
      <c r="AD418" s="245" t="s">
        <v>854</v>
      </c>
      <c r="AE418" s="1397"/>
      <c r="AF418" s="1398"/>
      <c r="AG418" s="1398"/>
      <c r="AH418" s="1398"/>
      <c r="AI418" s="1398"/>
      <c r="AJ418" s="1398"/>
      <c r="AK418" s="1398"/>
      <c r="AL418" s="1399"/>
      <c r="AM418" s="83"/>
    </row>
    <row r="419" spans="2:39" ht="12" x14ac:dyDescent="0.25">
      <c r="B419" s="1399"/>
      <c r="C419" s="1450"/>
      <c r="D419" s="1462"/>
      <c r="E419" s="148" t="s">
        <v>764</v>
      </c>
      <c r="F419" s="140" t="s">
        <v>433</v>
      </c>
      <c r="G419" s="90"/>
      <c r="H419" s="90"/>
      <c r="I419" s="90"/>
      <c r="J419" s="90"/>
      <c r="K419" s="90"/>
      <c r="L419" s="90"/>
      <c r="M419" s="90"/>
      <c r="N419" s="90"/>
      <c r="O419" s="90"/>
      <c r="P419" s="90"/>
      <c r="Q419" s="90"/>
      <c r="R419" s="90"/>
      <c r="S419" s="90"/>
      <c r="T419" s="90"/>
      <c r="U419" s="90"/>
      <c r="V419" s="153" t="s">
        <v>608</v>
      </c>
      <c r="X419" s="1391"/>
      <c r="Y419" s="1391"/>
      <c r="Z419" s="1391"/>
      <c r="AA419" s="1391"/>
      <c r="AB419" s="1391"/>
      <c r="AC419" s="90"/>
      <c r="AD419" s="245" t="s">
        <v>854</v>
      </c>
      <c r="AE419" s="1397"/>
      <c r="AF419" s="1398"/>
      <c r="AG419" s="1398"/>
      <c r="AH419" s="1398"/>
      <c r="AI419" s="1398"/>
      <c r="AJ419" s="1398"/>
      <c r="AK419" s="1398"/>
      <c r="AL419" s="1399"/>
      <c r="AM419" s="83"/>
    </row>
    <row r="420" spans="2:39" ht="12" x14ac:dyDescent="0.25">
      <c r="B420" s="1399"/>
      <c r="C420" s="1450"/>
      <c r="D420" s="1462"/>
      <c r="E420" s="148" t="s">
        <v>765</v>
      </c>
      <c r="F420" s="152" t="s">
        <v>434</v>
      </c>
      <c r="V420" s="148" t="s">
        <v>609</v>
      </c>
      <c r="W420" s="90"/>
      <c r="X420" s="1391"/>
      <c r="Y420" s="1391"/>
      <c r="Z420" s="1391"/>
      <c r="AA420" s="1391"/>
      <c r="AB420" s="1391"/>
      <c r="AC420" s="90"/>
      <c r="AD420" s="245" t="s">
        <v>854</v>
      </c>
      <c r="AE420" s="1397"/>
      <c r="AF420" s="1398"/>
      <c r="AG420" s="1398"/>
      <c r="AH420" s="1398"/>
      <c r="AI420" s="1398"/>
      <c r="AJ420" s="1398"/>
      <c r="AK420" s="1398"/>
      <c r="AL420" s="1399"/>
      <c r="AM420" s="83"/>
    </row>
    <row r="421" spans="2:39" ht="12" x14ac:dyDescent="0.25">
      <c r="B421" s="1399"/>
      <c r="C421" s="1450"/>
      <c r="D421" s="1462"/>
      <c r="E421" s="148" t="s">
        <v>766</v>
      </c>
      <c r="F421" s="140" t="s">
        <v>435</v>
      </c>
      <c r="G421" s="90"/>
      <c r="H421" s="90"/>
      <c r="I421" s="90"/>
      <c r="J421" s="90"/>
      <c r="K421" s="90"/>
      <c r="L421" s="90"/>
      <c r="M421" s="90"/>
      <c r="N421" s="90"/>
      <c r="O421" s="90"/>
      <c r="P421" s="90"/>
      <c r="Q421" s="90"/>
      <c r="R421" s="90"/>
      <c r="S421" s="90"/>
      <c r="T421" s="90"/>
      <c r="U421" s="90"/>
      <c r="V421" s="153" t="s">
        <v>610</v>
      </c>
      <c r="X421" s="1391"/>
      <c r="Y421" s="1391"/>
      <c r="Z421" s="1391"/>
      <c r="AA421" s="1391"/>
      <c r="AB421" s="1391"/>
      <c r="AC421" s="90"/>
      <c r="AD421" s="245" t="s">
        <v>854</v>
      </c>
      <c r="AE421" s="1400"/>
      <c r="AF421" s="1401"/>
      <c r="AG421" s="1401"/>
      <c r="AH421" s="1401"/>
      <c r="AI421" s="1401"/>
      <c r="AJ421" s="1401"/>
      <c r="AK421" s="1401"/>
      <c r="AL421" s="1402"/>
      <c r="AM421" s="83"/>
    </row>
    <row r="422" spans="2:39" ht="12" x14ac:dyDescent="0.25">
      <c r="B422" s="1399"/>
      <c r="C422" s="1450"/>
      <c r="D422" s="1463"/>
      <c r="E422" s="148" t="s">
        <v>802</v>
      </c>
      <c r="F422" s="138" t="s">
        <v>369</v>
      </c>
      <c r="G422" s="90"/>
      <c r="H422" s="90"/>
      <c r="I422" s="90"/>
      <c r="J422" s="90"/>
      <c r="K422" s="90"/>
      <c r="L422" s="90"/>
      <c r="M422" s="90"/>
      <c r="N422" s="90"/>
      <c r="O422" s="90"/>
      <c r="P422" s="90"/>
      <c r="Q422" s="90"/>
      <c r="R422" s="90"/>
      <c r="S422" s="90"/>
      <c r="T422" s="90"/>
      <c r="U422" s="1437"/>
      <c r="V422" s="1437"/>
      <c r="W422" s="1437"/>
      <c r="X422" s="1437"/>
      <c r="Y422" s="1437"/>
      <c r="Z422" s="1437"/>
      <c r="AA422" s="1437"/>
      <c r="AB422" s="1437"/>
      <c r="AC422" s="1437"/>
      <c r="AD422" s="1436"/>
      <c r="AE422" s="115" t="s">
        <v>370</v>
      </c>
      <c r="AF422" s="91"/>
      <c r="AG422" s="1391">
        <v>0</v>
      </c>
      <c r="AH422" s="1391"/>
      <c r="AI422" s="1391"/>
      <c r="AJ422" s="1391"/>
      <c r="AK422" s="1391"/>
      <c r="AL422" s="223" t="s">
        <v>854</v>
      </c>
      <c r="AM422" s="83"/>
    </row>
    <row r="423" spans="2:39" ht="12" x14ac:dyDescent="0.25">
      <c r="B423" s="1399"/>
      <c r="C423" s="1450"/>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391">
        <v>0</v>
      </c>
      <c r="AH423" s="1391"/>
      <c r="AI423" s="1391"/>
      <c r="AJ423" s="1391"/>
      <c r="AK423" s="1391"/>
      <c r="AL423" s="223" t="s">
        <v>854</v>
      </c>
      <c r="AM423" s="83"/>
    </row>
    <row r="424" spans="2:39" ht="12" x14ac:dyDescent="0.25">
      <c r="B424" s="1399"/>
      <c r="C424" s="1451"/>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391">
        <v>0</v>
      </c>
      <c r="AH424" s="1391"/>
      <c r="AI424" s="1391"/>
      <c r="AJ424" s="1391"/>
      <c r="AK424" s="1391"/>
      <c r="AL424" s="223" t="s">
        <v>854</v>
      </c>
      <c r="AM424" s="83"/>
    </row>
    <row r="425" spans="2:39" x14ac:dyDescent="0.2">
      <c r="B425" s="1399"/>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ht="12" x14ac:dyDescent="0.25">
      <c r="B426" s="1399"/>
      <c r="C426" s="1452"/>
      <c r="D426" s="144">
        <v>38</v>
      </c>
      <c r="E426" s="202" t="s">
        <v>375</v>
      </c>
      <c r="AE426" s="153">
        <v>38</v>
      </c>
      <c r="AG426" s="1391"/>
      <c r="AH426" s="1391"/>
      <c r="AI426" s="1391"/>
      <c r="AJ426" s="1391"/>
      <c r="AK426" s="1391"/>
      <c r="AL426" s="223" t="s">
        <v>854</v>
      </c>
      <c r="AM426" s="83"/>
    </row>
    <row r="427" spans="2:39" ht="12" x14ac:dyDescent="0.25">
      <c r="B427" s="1399"/>
      <c r="C427" s="1453"/>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391"/>
      <c r="AH427" s="1391"/>
      <c r="AI427" s="1391"/>
      <c r="AJ427" s="1391"/>
      <c r="AK427" s="1391"/>
      <c r="AL427" s="223" t="s">
        <v>854</v>
      </c>
      <c r="AM427" s="83"/>
    </row>
    <row r="428" spans="2:39" ht="12" x14ac:dyDescent="0.25">
      <c r="B428" s="1399"/>
      <c r="C428" s="1453"/>
      <c r="D428" s="140">
        <v>40</v>
      </c>
      <c r="E428" s="202" t="s">
        <v>377</v>
      </c>
      <c r="AE428" s="153">
        <v>40</v>
      </c>
      <c r="AG428" s="1391"/>
      <c r="AH428" s="1391"/>
      <c r="AI428" s="1391"/>
      <c r="AJ428" s="1391"/>
      <c r="AK428" s="1391"/>
      <c r="AL428" s="223" t="s">
        <v>854</v>
      </c>
      <c r="AM428" s="83"/>
    </row>
    <row r="429" spans="2:39" ht="12" x14ac:dyDescent="0.25">
      <c r="B429" s="1399"/>
      <c r="C429" s="1454"/>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391">
        <v>0</v>
      </c>
      <c r="AH429" s="1391"/>
      <c r="AI429" s="1391"/>
      <c r="AJ429" s="1391"/>
      <c r="AK429" s="1391"/>
      <c r="AL429" s="223" t="s">
        <v>854</v>
      </c>
      <c r="AM429" s="83"/>
    </row>
    <row r="430" spans="2:39" ht="12" x14ac:dyDescent="0.25">
      <c r="B430" s="1402"/>
      <c r="C430" s="143" t="s">
        <v>800</v>
      </c>
      <c r="D430" s="138" t="s">
        <v>380</v>
      </c>
      <c r="E430" s="171"/>
      <c r="AE430" s="145" t="s">
        <v>800</v>
      </c>
      <c r="AG430" s="1391">
        <v>0</v>
      </c>
      <c r="AH430" s="1391"/>
      <c r="AI430" s="1391"/>
      <c r="AJ430" s="1391"/>
      <c r="AK430" s="1391"/>
      <c r="AL430" s="223" t="s">
        <v>854</v>
      </c>
      <c r="AM430" s="83"/>
    </row>
    <row r="431" spans="2:39" ht="13.8" x14ac:dyDescent="0.2">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3.2" x14ac:dyDescent="0.25">
      <c r="B433" s="1467" t="s">
        <v>527</v>
      </c>
      <c r="C433" s="1468"/>
      <c r="D433" s="1468"/>
      <c r="E433" s="1468"/>
      <c r="F433" s="1468"/>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x14ac:dyDescent="0.2">
      <c r="B434" s="1416" t="s">
        <v>120</v>
      </c>
      <c r="C434" s="110">
        <v>1</v>
      </c>
      <c r="D434" s="1458" t="s">
        <v>529</v>
      </c>
      <c r="E434" s="1459"/>
      <c r="F434" s="1459"/>
      <c r="G434" s="1459"/>
      <c r="H434" s="1459"/>
      <c r="I434" s="1459"/>
      <c r="J434" s="1459"/>
      <c r="K434" s="1459"/>
      <c r="L434" s="1459"/>
      <c r="M434" s="1459"/>
      <c r="N434" s="1459"/>
      <c r="O434" s="1459"/>
      <c r="P434" s="1459"/>
      <c r="Q434" s="1459"/>
      <c r="R434" s="1460"/>
      <c r="S434" s="1543" t="s">
        <v>530</v>
      </c>
      <c r="T434" s="1544"/>
      <c r="U434" s="1544"/>
      <c r="V434" s="1544"/>
      <c r="W434" s="1544"/>
      <c r="X434" s="1544"/>
      <c r="Y434" s="1544"/>
      <c r="Z434" s="1544"/>
      <c r="AA434" s="1544"/>
      <c r="AB434" s="1544"/>
      <c r="AC434" s="1544"/>
      <c r="AD434" s="1544"/>
      <c r="AE434" s="1544"/>
      <c r="AF434" s="1544"/>
      <c r="AG434" s="1544"/>
      <c r="AH434" s="1544"/>
      <c r="AI434" s="1544"/>
      <c r="AJ434" s="1544"/>
      <c r="AK434" s="1544"/>
      <c r="AL434" s="1544"/>
      <c r="AM434" s="83"/>
    </row>
    <row r="435" spans="2:39" ht="12" customHeight="1" x14ac:dyDescent="0.2">
      <c r="B435" s="1417"/>
      <c r="C435" s="1464">
        <v>2</v>
      </c>
      <c r="D435" s="1469" t="s">
        <v>382</v>
      </c>
      <c r="E435" s="1470"/>
      <c r="F435" s="1470"/>
      <c r="G435" s="1470"/>
      <c r="H435" s="1470"/>
      <c r="I435" s="1470"/>
      <c r="J435" s="1470"/>
      <c r="K435" s="1470"/>
      <c r="L435" s="1470"/>
      <c r="M435" s="1470"/>
      <c r="N435" s="1470"/>
      <c r="O435" s="1470"/>
      <c r="P435" s="1470"/>
      <c r="Q435" s="1470"/>
      <c r="R435" s="1471"/>
      <c r="S435" s="1435">
        <v>15</v>
      </c>
      <c r="T435" s="1437"/>
      <c r="U435" s="1436"/>
      <c r="V435" s="1435">
        <v>30</v>
      </c>
      <c r="W435" s="1437"/>
      <c r="X435" s="1436"/>
      <c r="Y435" s="1437">
        <v>40</v>
      </c>
      <c r="Z435" s="1437"/>
      <c r="AA435" s="1437"/>
      <c r="AB435" s="1435">
        <v>50</v>
      </c>
      <c r="AC435" s="1437"/>
      <c r="AD435" s="1436"/>
      <c r="AE435" s="1437">
        <v>60</v>
      </c>
      <c r="AF435" s="1437"/>
      <c r="AG435" s="1435">
        <v>80</v>
      </c>
      <c r="AH435" s="1437"/>
      <c r="AI435" s="1436"/>
      <c r="AJ435" s="1435">
        <v>100</v>
      </c>
      <c r="AK435" s="1437"/>
      <c r="AL435" s="1437"/>
      <c r="AM435" s="83"/>
    </row>
    <row r="436" spans="2:39" ht="12" customHeight="1" x14ac:dyDescent="0.2">
      <c r="B436" s="1417"/>
      <c r="C436" s="1465"/>
      <c r="D436" s="1472"/>
      <c r="E436" s="1473"/>
      <c r="F436" s="1473"/>
      <c r="G436" s="1473"/>
      <c r="H436" s="1473"/>
      <c r="I436" s="1473"/>
      <c r="J436" s="1473"/>
      <c r="K436" s="1473"/>
      <c r="L436" s="1473"/>
      <c r="M436" s="1473"/>
      <c r="N436" s="1473"/>
      <c r="O436" s="1473"/>
      <c r="P436" s="1473"/>
      <c r="Q436" s="1473"/>
      <c r="R436" s="1474"/>
      <c r="S436" s="1435" t="s">
        <v>761</v>
      </c>
      <c r="T436" s="1437"/>
      <c r="U436" s="1436"/>
      <c r="V436" s="1435" t="s">
        <v>569</v>
      </c>
      <c r="W436" s="1437"/>
      <c r="X436" s="1436"/>
      <c r="Y436" s="1437" t="s">
        <v>762</v>
      </c>
      <c r="Z436" s="1437"/>
      <c r="AA436" s="1437"/>
      <c r="AB436" s="1435" t="s">
        <v>822</v>
      </c>
      <c r="AC436" s="1437"/>
      <c r="AD436" s="1436"/>
      <c r="AE436" s="1437" t="s">
        <v>383</v>
      </c>
      <c r="AF436" s="1437"/>
      <c r="AG436" s="1435" t="s">
        <v>384</v>
      </c>
      <c r="AH436" s="1437"/>
      <c r="AI436" s="1436"/>
      <c r="AJ436" s="1435" t="s">
        <v>385</v>
      </c>
      <c r="AK436" s="1437"/>
      <c r="AL436" s="1437"/>
      <c r="AM436" s="83"/>
    </row>
    <row r="437" spans="2:39" ht="27" customHeight="1" x14ac:dyDescent="0.2">
      <c r="B437" s="1417"/>
      <c r="C437" s="192">
        <v>3</v>
      </c>
      <c r="D437" s="1414" t="s">
        <v>386</v>
      </c>
      <c r="E437" s="1415"/>
      <c r="F437" s="1415"/>
      <c r="G437" s="1415"/>
      <c r="H437" s="1415"/>
      <c r="I437" s="1415"/>
      <c r="J437" s="1415"/>
      <c r="K437" s="1415"/>
      <c r="L437" s="1415"/>
      <c r="M437" s="1415"/>
      <c r="N437" s="1415"/>
      <c r="O437" s="1415"/>
      <c r="P437" s="1415"/>
      <c r="Q437" s="1415"/>
      <c r="R437" s="90"/>
      <c r="S437" s="1435"/>
      <c r="T437" s="1437"/>
      <c r="U437" s="1436"/>
      <c r="V437" s="1435"/>
      <c r="W437" s="1437"/>
      <c r="X437" s="1436"/>
      <c r="Y437" s="1435"/>
      <c r="Z437" s="1437"/>
      <c r="AA437" s="1436"/>
      <c r="AB437" s="1435"/>
      <c r="AC437" s="1437"/>
      <c r="AD437" s="1436"/>
      <c r="AE437" s="1435"/>
      <c r="AF437" s="1436"/>
      <c r="AG437" s="1435"/>
      <c r="AH437" s="1437"/>
      <c r="AI437" s="1436"/>
      <c r="AJ437" s="1435"/>
      <c r="AK437" s="1437"/>
      <c r="AL437" s="1437"/>
      <c r="AM437" s="83"/>
    </row>
    <row r="438" spans="2:39" ht="25.5" customHeight="1" x14ac:dyDescent="0.2">
      <c r="B438" s="1417"/>
      <c r="C438" s="192">
        <v>4</v>
      </c>
      <c r="D438" s="1414" t="s">
        <v>387</v>
      </c>
      <c r="E438" s="1415"/>
      <c r="F438" s="1415"/>
      <c r="G438" s="1415"/>
      <c r="H438" s="1415"/>
      <c r="I438" s="1415"/>
      <c r="J438" s="1415"/>
      <c r="K438" s="1415"/>
      <c r="L438" s="1415"/>
      <c r="M438" s="1415"/>
      <c r="N438" s="1415"/>
      <c r="O438" s="1415"/>
      <c r="P438" s="1415"/>
      <c r="Q438" s="1415"/>
      <c r="S438" s="1435"/>
      <c r="T438" s="1437"/>
      <c r="U438" s="1436"/>
      <c r="V438" s="1435"/>
      <c r="W438" s="1437"/>
      <c r="X438" s="1436"/>
      <c r="Y438" s="1435"/>
      <c r="Z438" s="1437"/>
      <c r="AA438" s="1436"/>
      <c r="AB438" s="1435"/>
      <c r="AC438" s="1437"/>
      <c r="AD438" s="1436"/>
      <c r="AE438" s="1435"/>
      <c r="AF438" s="1436"/>
      <c r="AG438" s="1435"/>
      <c r="AH438" s="1437"/>
      <c r="AI438" s="1436"/>
      <c r="AJ438" s="1435"/>
      <c r="AK438" s="1437"/>
      <c r="AL438" s="1437"/>
      <c r="AM438" s="83"/>
    </row>
    <row r="439" spans="2:39" ht="23.25" customHeight="1" x14ac:dyDescent="0.2">
      <c r="B439" s="1417"/>
      <c r="C439" s="192">
        <v>5</v>
      </c>
      <c r="D439" s="1414" t="s">
        <v>388</v>
      </c>
      <c r="E439" s="1415"/>
      <c r="F439" s="1415"/>
      <c r="G439" s="1415"/>
      <c r="H439" s="1415"/>
      <c r="I439" s="1415"/>
      <c r="J439" s="1415"/>
      <c r="K439" s="1415"/>
      <c r="L439" s="1415"/>
      <c r="M439" s="1415"/>
      <c r="N439" s="1415"/>
      <c r="O439" s="1415"/>
      <c r="P439" s="1415"/>
      <c r="Q439" s="1415"/>
      <c r="R439" s="90"/>
      <c r="S439" s="1435"/>
      <c r="T439" s="1437"/>
      <c r="U439" s="1436"/>
      <c r="V439" s="1435"/>
      <c r="W439" s="1437"/>
      <c r="X439" s="1436"/>
      <c r="Y439" s="1435"/>
      <c r="Z439" s="1437"/>
      <c r="AA439" s="1436"/>
      <c r="AB439" s="1435"/>
      <c r="AC439" s="1437"/>
      <c r="AD439" s="1436"/>
      <c r="AE439" s="1435"/>
      <c r="AF439" s="1436"/>
      <c r="AG439" s="1435"/>
      <c r="AH439" s="1437"/>
      <c r="AI439" s="1436"/>
      <c r="AJ439" s="1435"/>
      <c r="AK439" s="1437"/>
      <c r="AL439" s="1437"/>
      <c r="AM439" s="83"/>
    </row>
    <row r="440" spans="2:39" ht="24" customHeight="1" x14ac:dyDescent="0.2">
      <c r="B440" s="1417"/>
      <c r="C440" s="192">
        <v>6</v>
      </c>
      <c r="D440" s="1414" t="s">
        <v>389</v>
      </c>
      <c r="E440" s="1415"/>
      <c r="F440" s="1415"/>
      <c r="G440" s="1415"/>
      <c r="H440" s="1415"/>
      <c r="I440" s="1415"/>
      <c r="J440" s="1415"/>
      <c r="K440" s="1415"/>
      <c r="L440" s="1415"/>
      <c r="M440" s="1415"/>
      <c r="N440" s="1415"/>
      <c r="O440" s="1415"/>
      <c r="P440" s="1415"/>
      <c r="Q440" s="1415"/>
      <c r="S440" s="1435"/>
      <c r="T440" s="1437"/>
      <c r="U440" s="1436"/>
      <c r="V440" s="1435"/>
      <c r="W440" s="1437"/>
      <c r="X440" s="1436"/>
      <c r="Y440" s="1435"/>
      <c r="Z440" s="1437"/>
      <c r="AA440" s="1436"/>
      <c r="AB440" s="1435"/>
      <c r="AC440" s="1437"/>
      <c r="AD440" s="1436"/>
      <c r="AE440" s="1435"/>
      <c r="AF440" s="1436"/>
      <c r="AG440" s="1435"/>
      <c r="AH440" s="1437"/>
      <c r="AI440" s="1436"/>
      <c r="AJ440" s="1435"/>
      <c r="AK440" s="1437"/>
      <c r="AL440" s="1437"/>
      <c r="AM440" s="83"/>
    </row>
    <row r="441" spans="2:39" ht="24.75" customHeight="1" x14ac:dyDescent="0.2">
      <c r="B441" s="1417"/>
      <c r="C441" s="192">
        <v>7</v>
      </c>
      <c r="D441" s="1414" t="s">
        <v>390</v>
      </c>
      <c r="E441" s="1415"/>
      <c r="F441" s="1415"/>
      <c r="G441" s="1415"/>
      <c r="H441" s="1415"/>
      <c r="I441" s="1415"/>
      <c r="J441" s="1415"/>
      <c r="K441" s="1415"/>
      <c r="L441" s="1415"/>
      <c r="M441" s="1415"/>
      <c r="N441" s="1415"/>
      <c r="O441" s="1415"/>
      <c r="P441" s="1415"/>
      <c r="Q441" s="1415"/>
      <c r="R441" s="90"/>
      <c r="S441" s="1435"/>
      <c r="T441" s="1437"/>
      <c r="U441" s="1436"/>
      <c r="V441" s="1435"/>
      <c r="W441" s="1437"/>
      <c r="X441" s="1436"/>
      <c r="Y441" s="1435"/>
      <c r="Z441" s="1437"/>
      <c r="AA441" s="1436"/>
      <c r="AB441" s="1435"/>
      <c r="AC441" s="1437"/>
      <c r="AD441" s="1436"/>
      <c r="AE441" s="1435"/>
      <c r="AF441" s="1436"/>
      <c r="AG441" s="1435"/>
      <c r="AH441" s="1437"/>
      <c r="AI441" s="1436"/>
      <c r="AJ441" s="1435"/>
      <c r="AK441" s="1437"/>
      <c r="AL441" s="1437"/>
      <c r="AM441" s="83"/>
    </row>
    <row r="442" spans="2:39" ht="22.5" customHeight="1" x14ac:dyDescent="0.2">
      <c r="B442" s="1417"/>
      <c r="C442" s="192">
        <v>8</v>
      </c>
      <c r="D442" s="1414" t="s">
        <v>391</v>
      </c>
      <c r="E442" s="1415"/>
      <c r="F442" s="1415"/>
      <c r="G442" s="1415"/>
      <c r="H442" s="1415"/>
      <c r="I442" s="1415"/>
      <c r="J442" s="1415"/>
      <c r="K442" s="1415"/>
      <c r="L442" s="1415"/>
      <c r="M442" s="1415"/>
      <c r="N442" s="1415"/>
      <c r="O442" s="1415"/>
      <c r="P442" s="1415"/>
      <c r="Q442" s="1415"/>
      <c r="S442" s="1435"/>
      <c r="T442" s="1437"/>
      <c r="U442" s="1436"/>
      <c r="V442" s="1435"/>
      <c r="W442" s="1437"/>
      <c r="X442" s="1436"/>
      <c r="Y442" s="1435"/>
      <c r="Z442" s="1437"/>
      <c r="AA442" s="1436"/>
      <c r="AB442" s="1435"/>
      <c r="AC442" s="1437"/>
      <c r="AD442" s="1436"/>
      <c r="AE442" s="1435"/>
      <c r="AF442" s="1436"/>
      <c r="AG442" s="1435"/>
      <c r="AH442" s="1437"/>
      <c r="AI442" s="1436"/>
      <c r="AJ442" s="1435"/>
      <c r="AK442" s="1437"/>
      <c r="AL442" s="1437"/>
      <c r="AM442" s="83"/>
    </row>
    <row r="443" spans="2:39" ht="24" customHeight="1" x14ac:dyDescent="0.2">
      <c r="B443" s="1417"/>
      <c r="C443" s="192">
        <v>9</v>
      </c>
      <c r="D443" s="1414" t="s">
        <v>392</v>
      </c>
      <c r="E443" s="1415"/>
      <c r="F443" s="1415"/>
      <c r="G443" s="1415"/>
      <c r="H443" s="1415"/>
      <c r="I443" s="1415"/>
      <c r="J443" s="1415"/>
      <c r="K443" s="1415"/>
      <c r="L443" s="1415"/>
      <c r="M443" s="1415"/>
      <c r="N443" s="1415"/>
      <c r="O443" s="1415"/>
      <c r="P443" s="1415"/>
      <c r="Q443" s="1415"/>
      <c r="R443" s="90"/>
      <c r="S443" s="1435"/>
      <c r="T443" s="1437"/>
      <c r="U443" s="1436"/>
      <c r="V443" s="1435"/>
      <c r="W443" s="1437"/>
      <c r="X443" s="1436"/>
      <c r="Y443" s="1435"/>
      <c r="Z443" s="1437"/>
      <c r="AA443" s="1436"/>
      <c r="AB443" s="1435"/>
      <c r="AC443" s="1437"/>
      <c r="AD443" s="1436"/>
      <c r="AE443" s="1435"/>
      <c r="AF443" s="1436"/>
      <c r="AG443" s="1435"/>
      <c r="AH443" s="1437"/>
      <c r="AI443" s="1436"/>
      <c r="AJ443" s="1435"/>
      <c r="AK443" s="1437"/>
      <c r="AL443" s="1437"/>
      <c r="AM443" s="83"/>
    </row>
    <row r="444" spans="2:39" ht="15.75" customHeight="1" x14ac:dyDescent="0.2">
      <c r="B444" s="1417"/>
      <c r="C444" s="192">
        <v>10</v>
      </c>
      <c r="D444" s="1414" t="s">
        <v>393</v>
      </c>
      <c r="E444" s="1415"/>
      <c r="F444" s="1415"/>
      <c r="G444" s="1415"/>
      <c r="H444" s="1415"/>
      <c r="I444" s="1415"/>
      <c r="J444" s="1415"/>
      <c r="K444" s="1415"/>
      <c r="L444" s="1415"/>
      <c r="M444" s="1415"/>
      <c r="N444" s="1415"/>
      <c r="O444" s="1415"/>
      <c r="P444" s="1415"/>
      <c r="Q444" s="1415"/>
      <c r="S444" s="1435"/>
      <c r="T444" s="1437"/>
      <c r="U444" s="1436"/>
      <c r="V444" s="1435"/>
      <c r="W444" s="1437"/>
      <c r="X444" s="1436"/>
      <c r="Y444" s="1435"/>
      <c r="Z444" s="1437"/>
      <c r="AA444" s="1436"/>
      <c r="AB444" s="1435"/>
      <c r="AC444" s="1437"/>
      <c r="AD444" s="1436"/>
      <c r="AE444" s="1435"/>
      <c r="AF444" s="1436"/>
      <c r="AG444" s="1435"/>
      <c r="AH444" s="1437"/>
      <c r="AI444" s="1436"/>
      <c r="AJ444" s="1435"/>
      <c r="AK444" s="1437"/>
      <c r="AL444" s="1437"/>
      <c r="AM444" s="83"/>
    </row>
    <row r="445" spans="2:39" ht="17.25" customHeight="1" x14ac:dyDescent="0.2">
      <c r="B445" s="1417"/>
      <c r="C445" s="192">
        <v>11</v>
      </c>
      <c r="D445" s="1414" t="s">
        <v>394</v>
      </c>
      <c r="E445" s="1415"/>
      <c r="F445" s="1415"/>
      <c r="G445" s="1415"/>
      <c r="H445" s="1415"/>
      <c r="I445" s="1415"/>
      <c r="J445" s="1415"/>
      <c r="K445" s="1415"/>
      <c r="L445" s="1415"/>
      <c r="M445" s="1415"/>
      <c r="N445" s="1415"/>
      <c r="O445" s="1415"/>
      <c r="P445" s="1415"/>
      <c r="Q445" s="1415"/>
      <c r="R445" s="90"/>
      <c r="S445" s="1435"/>
      <c r="T445" s="1437"/>
      <c r="U445" s="1436"/>
      <c r="V445" s="1435"/>
      <c r="W445" s="1437"/>
      <c r="X445" s="1436"/>
      <c r="Y445" s="1435"/>
      <c r="Z445" s="1437"/>
      <c r="AA445" s="1436"/>
      <c r="AB445" s="1435"/>
      <c r="AC445" s="1437"/>
      <c r="AD445" s="1436"/>
      <c r="AE445" s="1435"/>
      <c r="AF445" s="1436"/>
      <c r="AG445" s="1435"/>
      <c r="AH445" s="1437"/>
      <c r="AI445" s="1436"/>
      <c r="AJ445" s="1435"/>
      <c r="AK445" s="1437"/>
      <c r="AL445" s="1437"/>
      <c r="AM445" s="83"/>
    </row>
    <row r="446" spans="2:39" ht="19.5" customHeight="1" x14ac:dyDescent="0.2">
      <c r="B446" s="1417"/>
      <c r="C446" s="192">
        <v>12</v>
      </c>
      <c r="D446" s="1414" t="s">
        <v>395</v>
      </c>
      <c r="E446" s="1415"/>
      <c r="F446" s="1415"/>
      <c r="G446" s="1415"/>
      <c r="H446" s="1415"/>
      <c r="I446" s="1415"/>
      <c r="J446" s="1415"/>
      <c r="K446" s="1415"/>
      <c r="L446" s="1415"/>
      <c r="M446" s="1415"/>
      <c r="N446" s="1415"/>
      <c r="O446" s="1415"/>
      <c r="P446" s="1415"/>
      <c r="Q446" s="1415"/>
      <c r="S446" s="1435"/>
      <c r="T446" s="1437"/>
      <c r="U446" s="1436"/>
      <c r="V446" s="1435"/>
      <c r="W446" s="1437"/>
      <c r="X446" s="1436"/>
      <c r="Y446" s="1435"/>
      <c r="Z446" s="1437"/>
      <c r="AA446" s="1436"/>
      <c r="AB446" s="1435"/>
      <c r="AC446" s="1437"/>
      <c r="AD446" s="1436"/>
      <c r="AE446" s="1435"/>
      <c r="AF446" s="1436"/>
      <c r="AG446" s="1435"/>
      <c r="AH446" s="1437"/>
      <c r="AI446" s="1436"/>
      <c r="AJ446" s="1435"/>
      <c r="AK446" s="1437"/>
      <c r="AL446" s="1437"/>
      <c r="AM446" s="83"/>
    </row>
    <row r="447" spans="2:39" ht="15" customHeight="1" x14ac:dyDescent="0.2">
      <c r="B447" s="1417"/>
      <c r="C447" s="192">
        <v>13</v>
      </c>
      <c r="D447" s="1414" t="s">
        <v>396</v>
      </c>
      <c r="E447" s="1415"/>
      <c r="F447" s="1415"/>
      <c r="G447" s="1415"/>
      <c r="H447" s="1415"/>
      <c r="I447" s="1415"/>
      <c r="J447" s="1415"/>
      <c r="K447" s="1415"/>
      <c r="L447" s="1415"/>
      <c r="M447" s="1415"/>
      <c r="N447" s="1415"/>
      <c r="O447" s="1415"/>
      <c r="P447" s="1415"/>
      <c r="Q447" s="1415"/>
      <c r="R447" s="90"/>
      <c r="S447" s="1435"/>
      <c r="T447" s="1437"/>
      <c r="U447" s="1436"/>
      <c r="V447" s="1435"/>
      <c r="W447" s="1437"/>
      <c r="X447" s="1436"/>
      <c r="Y447" s="1435"/>
      <c r="Z447" s="1437"/>
      <c r="AA447" s="1436"/>
      <c r="AB447" s="1435"/>
      <c r="AC447" s="1437"/>
      <c r="AD447" s="1436"/>
      <c r="AE447" s="1435"/>
      <c r="AF447" s="1436"/>
      <c r="AG447" s="1435"/>
      <c r="AH447" s="1437"/>
      <c r="AI447" s="1436"/>
      <c r="AJ447" s="1435"/>
      <c r="AK447" s="1437"/>
      <c r="AL447" s="1437"/>
      <c r="AM447" s="83"/>
    </row>
    <row r="448" spans="2:39" ht="14.25" customHeight="1" x14ac:dyDescent="0.25">
      <c r="B448" s="1417"/>
      <c r="C448" s="192">
        <v>14</v>
      </c>
      <c r="D448" s="1414" t="s">
        <v>397</v>
      </c>
      <c r="E448" s="1415"/>
      <c r="F448" s="1415"/>
      <c r="G448" s="1415"/>
      <c r="H448" s="1415"/>
      <c r="I448" s="1415"/>
      <c r="J448" s="1415"/>
      <c r="K448" s="1415"/>
      <c r="L448" s="1415"/>
      <c r="M448" s="1415"/>
      <c r="N448" s="1415"/>
      <c r="O448" s="1415"/>
      <c r="P448" s="1415"/>
      <c r="Q448" s="1415"/>
      <c r="S448" s="1438" t="s">
        <v>854</v>
      </c>
      <c r="T448" s="1440"/>
      <c r="U448" s="1439"/>
      <c r="V448" s="1438" t="s">
        <v>854</v>
      </c>
      <c r="W448" s="1440"/>
      <c r="X448" s="1439"/>
      <c r="Y448" s="1438" t="s">
        <v>854</v>
      </c>
      <c r="Z448" s="1440"/>
      <c r="AA448" s="1439"/>
      <c r="AB448" s="1438" t="s">
        <v>854</v>
      </c>
      <c r="AC448" s="1440"/>
      <c r="AD448" s="1439"/>
      <c r="AE448" s="1438" t="s">
        <v>854</v>
      </c>
      <c r="AF448" s="1439"/>
      <c r="AG448" s="1438" t="s">
        <v>854</v>
      </c>
      <c r="AH448" s="1440"/>
      <c r="AI448" s="1439"/>
      <c r="AJ448" s="1438" t="s">
        <v>854</v>
      </c>
      <c r="AK448" s="1440"/>
      <c r="AL448" s="1440"/>
      <c r="AM448" s="83"/>
    </row>
    <row r="449" spans="2:39" ht="24.75" customHeight="1" x14ac:dyDescent="0.2">
      <c r="B449" s="1417"/>
      <c r="C449" s="192">
        <v>15</v>
      </c>
      <c r="D449" s="1414" t="s">
        <v>399</v>
      </c>
      <c r="E449" s="1415"/>
      <c r="F449" s="1415"/>
      <c r="G449" s="1415"/>
      <c r="H449" s="1415"/>
      <c r="I449" s="1415"/>
      <c r="J449" s="1415"/>
      <c r="K449" s="1415"/>
      <c r="L449" s="1415"/>
      <c r="M449" s="1415"/>
      <c r="N449" s="1415"/>
      <c r="O449" s="1415"/>
      <c r="P449" s="1415"/>
      <c r="Q449" s="1415"/>
      <c r="R449" s="90"/>
      <c r="S449" s="1435"/>
      <c r="T449" s="1437"/>
      <c r="U449" s="1436"/>
      <c r="V449" s="1435"/>
      <c r="W449" s="1437"/>
      <c r="X449" s="1436"/>
      <c r="Y449" s="1435"/>
      <c r="Z449" s="1437"/>
      <c r="AA449" s="1436"/>
      <c r="AB449" s="1435"/>
      <c r="AC449" s="1437"/>
      <c r="AD449" s="1436"/>
      <c r="AE449" s="1435"/>
      <c r="AF449" s="1436"/>
      <c r="AG449" s="1435"/>
      <c r="AH449" s="1437"/>
      <c r="AI449" s="1436"/>
      <c r="AJ449" s="1435"/>
      <c r="AK449" s="1437"/>
      <c r="AL449" s="1437"/>
      <c r="AM449" s="83"/>
    </row>
    <row r="450" spans="2:39" ht="18" customHeight="1" x14ac:dyDescent="0.2">
      <c r="B450" s="1417"/>
      <c r="C450" s="192">
        <v>16</v>
      </c>
      <c r="D450" s="1412" t="s">
        <v>879</v>
      </c>
      <c r="E450" s="1413"/>
      <c r="F450" s="1413"/>
      <c r="G450" s="1413"/>
      <c r="H450" s="1413"/>
      <c r="I450" s="1413"/>
      <c r="J450" s="1413"/>
      <c r="K450" s="1413"/>
      <c r="L450" s="1413"/>
      <c r="M450" s="1413"/>
      <c r="N450" s="1413"/>
      <c r="O450" s="1413"/>
      <c r="P450" s="1413"/>
      <c r="Q450" s="1413"/>
      <c r="R450" s="1457"/>
      <c r="S450" s="1435"/>
      <c r="T450" s="1437"/>
      <c r="U450" s="1436"/>
      <c r="V450" s="1435"/>
      <c r="W450" s="1437"/>
      <c r="X450" s="1436"/>
      <c r="Y450" s="1435"/>
      <c r="Z450" s="1437"/>
      <c r="AA450" s="1436"/>
      <c r="AB450" s="1435"/>
      <c r="AC450" s="1437"/>
      <c r="AD450" s="1436"/>
      <c r="AE450" s="1435"/>
      <c r="AF450" s="1436"/>
      <c r="AG450" s="1435"/>
      <c r="AH450" s="1437"/>
      <c r="AI450" s="1436"/>
      <c r="AJ450" s="1435"/>
      <c r="AK450" s="1437"/>
      <c r="AL450" s="1437"/>
      <c r="AM450" s="83"/>
    </row>
    <row r="451" spans="2:39" ht="25.5" customHeight="1" x14ac:dyDescent="0.2">
      <c r="B451" s="1418"/>
      <c r="C451" s="192">
        <v>17</v>
      </c>
      <c r="D451" s="1414" t="s">
        <v>401</v>
      </c>
      <c r="E451" s="1415"/>
      <c r="F451" s="1415"/>
      <c r="G451" s="1415"/>
      <c r="H451" s="1415"/>
      <c r="I451" s="1415"/>
      <c r="J451" s="1415"/>
      <c r="K451" s="1415"/>
      <c r="L451" s="1415"/>
      <c r="M451" s="1415"/>
      <c r="N451" s="1415"/>
      <c r="O451" s="1415"/>
      <c r="P451" s="1415"/>
      <c r="Q451" s="1415"/>
      <c r="R451" s="80"/>
      <c r="S451" s="1435"/>
      <c r="T451" s="1437"/>
      <c r="U451" s="1436"/>
      <c r="V451" s="1435"/>
      <c r="W451" s="1437"/>
      <c r="X451" s="1436"/>
      <c r="Y451" s="1435"/>
      <c r="Z451" s="1437"/>
      <c r="AA451" s="1436"/>
      <c r="AB451" s="1435"/>
      <c r="AC451" s="1437"/>
      <c r="AD451" s="1436"/>
      <c r="AE451" s="1435"/>
      <c r="AF451" s="1436"/>
      <c r="AG451" s="1435"/>
      <c r="AH451" s="1437"/>
      <c r="AI451" s="1436"/>
      <c r="AJ451" s="1435"/>
      <c r="AK451" s="1437"/>
      <c r="AL451" s="1437"/>
      <c r="AM451" s="83"/>
    </row>
    <row r="453" spans="2:39" ht="16.5" customHeight="1" x14ac:dyDescent="0.2">
      <c r="B453" s="1467" t="s">
        <v>402</v>
      </c>
      <c r="C453" s="1468"/>
      <c r="D453" s="1468"/>
      <c r="E453" s="1468"/>
      <c r="F453" s="1468"/>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x14ac:dyDescent="0.2">
      <c r="B454" s="1558" t="s">
        <v>121</v>
      </c>
      <c r="C454" s="192">
        <v>1</v>
      </c>
      <c r="D454" s="1458" t="s">
        <v>529</v>
      </c>
      <c r="E454" s="1459"/>
      <c r="F454" s="1459"/>
      <c r="G454" s="1459"/>
      <c r="H454" s="1459"/>
      <c r="I454" s="1459"/>
      <c r="J454" s="1459"/>
      <c r="K454" s="1459"/>
      <c r="L454" s="1459"/>
      <c r="M454" s="1459"/>
      <c r="N454" s="1459"/>
      <c r="O454" s="1459"/>
      <c r="P454" s="1459"/>
      <c r="Q454" s="1459"/>
      <c r="R454" s="1460"/>
      <c r="S454" s="1455" t="s">
        <v>403</v>
      </c>
      <c r="T454" s="1456"/>
      <c r="U454" s="1456"/>
      <c r="V454" s="1456"/>
      <c r="W454" s="1456"/>
      <c r="X454" s="1456"/>
      <c r="Y454" s="1456"/>
      <c r="Z454" s="1456"/>
      <c r="AA454" s="1548"/>
      <c r="AB454" s="1444" t="s">
        <v>532</v>
      </c>
      <c r="AC454" s="1445"/>
      <c r="AD454" s="1528"/>
      <c r="AE454" s="1444" t="s">
        <v>533</v>
      </c>
      <c r="AF454" s="1445"/>
      <c r="AG454" s="1455" t="s">
        <v>404</v>
      </c>
      <c r="AH454" s="1456"/>
      <c r="AI454" s="1456"/>
      <c r="AJ454" s="1456"/>
      <c r="AK454" s="1456"/>
      <c r="AL454" s="1456"/>
      <c r="AM454" s="83"/>
    </row>
    <row r="455" spans="2:39" ht="12.75" customHeight="1" x14ac:dyDescent="0.2">
      <c r="B455" s="1558"/>
      <c r="C455" s="1477">
        <v>2</v>
      </c>
      <c r="D455" s="1470" t="s">
        <v>382</v>
      </c>
      <c r="E455" s="1470"/>
      <c r="F455" s="1470"/>
      <c r="G455" s="1470"/>
      <c r="H455" s="1470"/>
      <c r="I455" s="1470"/>
      <c r="J455" s="1470"/>
      <c r="K455" s="1470"/>
      <c r="L455" s="1470"/>
      <c r="M455" s="1470"/>
      <c r="N455" s="1470"/>
      <c r="O455" s="1470"/>
      <c r="P455" s="1470"/>
      <c r="Q455" s="1470"/>
      <c r="R455" s="1471"/>
      <c r="S455" s="1435">
        <v>5</v>
      </c>
      <c r="T455" s="1437"/>
      <c r="U455" s="1436"/>
      <c r="V455" s="1435">
        <v>10</v>
      </c>
      <c r="W455" s="1437"/>
      <c r="X455" s="1436"/>
      <c r="Y455" s="1437">
        <v>100</v>
      </c>
      <c r="Z455" s="1437"/>
      <c r="AA455" s="1437"/>
      <c r="AB455" s="1435">
        <v>10</v>
      </c>
      <c r="AC455" s="1437"/>
      <c r="AD455" s="1436"/>
      <c r="AE455" s="1437">
        <v>25</v>
      </c>
      <c r="AF455" s="1437"/>
      <c r="AG455" s="1435">
        <v>20</v>
      </c>
      <c r="AH455" s="1437"/>
      <c r="AI455" s="1437"/>
      <c r="AJ455" s="1437"/>
      <c r="AK455" s="1437"/>
      <c r="AL455" s="1437"/>
      <c r="AM455" s="83"/>
    </row>
    <row r="456" spans="2:39" x14ac:dyDescent="0.2">
      <c r="B456" s="1558"/>
      <c r="C456" s="1478"/>
      <c r="D456" s="1473"/>
      <c r="E456" s="1473"/>
      <c r="F456" s="1473"/>
      <c r="G456" s="1473"/>
      <c r="H456" s="1473"/>
      <c r="I456" s="1473"/>
      <c r="J456" s="1473"/>
      <c r="K456" s="1473"/>
      <c r="L456" s="1473"/>
      <c r="M456" s="1473"/>
      <c r="N456" s="1473"/>
      <c r="O456" s="1473"/>
      <c r="P456" s="1473"/>
      <c r="Q456" s="1473"/>
      <c r="R456" s="1474"/>
      <c r="S456" s="1435" t="s">
        <v>761</v>
      </c>
      <c r="T456" s="1437"/>
      <c r="U456" s="1436"/>
      <c r="V456" s="1437" t="s">
        <v>569</v>
      </c>
      <c r="W456" s="1437"/>
      <c r="X456" s="1436"/>
      <c r="Y456" s="1437" t="s">
        <v>762</v>
      </c>
      <c r="Z456" s="1437"/>
      <c r="AA456" s="1437"/>
      <c r="AB456" s="1435" t="s">
        <v>822</v>
      </c>
      <c r="AC456" s="1437"/>
      <c r="AD456" s="1436"/>
      <c r="AE456" s="1437" t="s">
        <v>383</v>
      </c>
      <c r="AF456" s="1437"/>
      <c r="AG456" s="1435" t="s">
        <v>384</v>
      </c>
      <c r="AH456" s="1437"/>
      <c r="AI456" s="1437"/>
      <c r="AJ456" s="1437"/>
      <c r="AK456" s="1437"/>
      <c r="AL456" s="1437"/>
      <c r="AM456" s="83"/>
    </row>
    <row r="457" spans="2:39" ht="27.75" customHeight="1" x14ac:dyDescent="0.2">
      <c r="B457" s="1558"/>
      <c r="C457" s="110">
        <v>3</v>
      </c>
      <c r="D457" s="1414" t="s">
        <v>386</v>
      </c>
      <c r="E457" s="1415"/>
      <c r="F457" s="1415"/>
      <c r="G457" s="1415"/>
      <c r="H457" s="1415"/>
      <c r="I457" s="1415"/>
      <c r="J457" s="1415"/>
      <c r="K457" s="1415"/>
      <c r="L457" s="1415"/>
      <c r="M457" s="1415"/>
      <c r="N457" s="1415"/>
      <c r="O457" s="1415"/>
      <c r="P457" s="1415"/>
      <c r="Q457" s="1415"/>
      <c r="R457" s="89"/>
      <c r="S457" s="1394"/>
      <c r="T457" s="1395"/>
      <c r="U457" s="1396"/>
      <c r="V457" s="1394"/>
      <c r="W457" s="1395"/>
      <c r="X457" s="1396"/>
      <c r="Y457" s="1394"/>
      <c r="Z457" s="1395"/>
      <c r="AA457" s="1396"/>
      <c r="AB457" s="1394"/>
      <c r="AC457" s="1395"/>
      <c r="AD457" s="1396"/>
      <c r="AE457" s="1394"/>
      <c r="AF457" s="1396"/>
      <c r="AG457" s="1394"/>
      <c r="AH457" s="1395"/>
      <c r="AI457" s="1395"/>
      <c r="AJ457" s="1395"/>
      <c r="AK457" s="1395"/>
      <c r="AL457" s="1395"/>
      <c r="AM457" s="83"/>
    </row>
    <row r="458" spans="2:39" ht="25.5" customHeight="1" x14ac:dyDescent="0.2">
      <c r="B458" s="1558"/>
      <c r="C458" s="110">
        <v>4</v>
      </c>
      <c r="D458" s="1414" t="s">
        <v>387</v>
      </c>
      <c r="E458" s="1415"/>
      <c r="F458" s="1415"/>
      <c r="G458" s="1415"/>
      <c r="H458" s="1415"/>
      <c r="I458" s="1415"/>
      <c r="J458" s="1415"/>
      <c r="K458" s="1415"/>
      <c r="L458" s="1415"/>
      <c r="M458" s="1415"/>
      <c r="N458" s="1415"/>
      <c r="O458" s="1415"/>
      <c r="P458" s="1415"/>
      <c r="Q458" s="1415"/>
      <c r="S458" s="1394"/>
      <c r="T458" s="1395"/>
      <c r="U458" s="1396"/>
      <c r="V458" s="1394"/>
      <c r="W458" s="1395"/>
      <c r="X458" s="1396"/>
      <c r="Y458" s="1394"/>
      <c r="Z458" s="1395"/>
      <c r="AA458" s="1396"/>
      <c r="AB458" s="1394"/>
      <c r="AC458" s="1395"/>
      <c r="AD458" s="1396"/>
      <c r="AE458" s="1394"/>
      <c r="AF458" s="1396"/>
      <c r="AG458" s="1394"/>
      <c r="AH458" s="1395"/>
      <c r="AI458" s="1395"/>
      <c r="AJ458" s="1395"/>
      <c r="AK458" s="1395"/>
      <c r="AL458" s="1395"/>
      <c r="AM458" s="83"/>
    </row>
    <row r="459" spans="2:39" ht="15.75" customHeight="1" x14ac:dyDescent="0.2">
      <c r="B459" s="1559"/>
      <c r="C459" s="110">
        <v>5</v>
      </c>
      <c r="D459" s="1414" t="s">
        <v>405</v>
      </c>
      <c r="E459" s="1415"/>
      <c r="F459" s="1415"/>
      <c r="G459" s="1415"/>
      <c r="H459" s="1415"/>
      <c r="I459" s="1415"/>
      <c r="J459" s="1415"/>
      <c r="K459" s="1415"/>
      <c r="L459" s="1415"/>
      <c r="M459" s="1415"/>
      <c r="N459" s="1415"/>
      <c r="O459" s="1415"/>
      <c r="P459" s="1415"/>
      <c r="Q459" s="1415"/>
      <c r="R459" s="90"/>
      <c r="S459" s="1435"/>
      <c r="T459" s="1437"/>
      <c r="U459" s="1436"/>
      <c r="V459" s="1435"/>
      <c r="W459" s="1437"/>
      <c r="X459" s="1436"/>
      <c r="Y459" s="1435"/>
      <c r="Z459" s="1437"/>
      <c r="AA459" s="1436"/>
      <c r="AB459" s="1435"/>
      <c r="AC459" s="1437"/>
      <c r="AD459" s="1436"/>
      <c r="AE459" s="1435"/>
      <c r="AF459" s="1436"/>
      <c r="AG459" s="1435"/>
      <c r="AH459" s="1437"/>
      <c r="AI459" s="1437"/>
      <c r="AJ459" s="1437"/>
      <c r="AK459" s="1437"/>
      <c r="AL459" s="1436"/>
      <c r="AM459" s="83"/>
    </row>
    <row r="460" spans="2:39" x14ac:dyDescent="0.2">
      <c r="AE460" s="125" t="s">
        <v>492</v>
      </c>
      <c r="AF460" s="1403" t="s">
        <v>907</v>
      </c>
      <c r="AG460" s="1403"/>
      <c r="AH460" s="1403"/>
      <c r="AI460" s="1403"/>
      <c r="AJ460" s="132" t="s">
        <v>534</v>
      </c>
      <c r="AK460" s="131"/>
      <c r="AL460" s="133">
        <v>9.06</v>
      </c>
    </row>
    <row r="462" spans="2:39" ht="20.25" customHeight="1" x14ac:dyDescent="0.2">
      <c r="B462" s="1396"/>
      <c r="C462" s="120"/>
      <c r="D462" s="1414" t="s">
        <v>406</v>
      </c>
      <c r="E462" s="1415"/>
      <c r="F462" s="1415"/>
      <c r="G462" s="1415"/>
      <c r="H462" s="1415"/>
      <c r="I462" s="1415"/>
      <c r="J462" s="1415"/>
      <c r="K462" s="1415"/>
      <c r="L462" s="1415"/>
      <c r="M462" s="1415"/>
      <c r="N462" s="1415"/>
      <c r="O462" s="1415"/>
      <c r="P462" s="1415"/>
      <c r="Q462" s="1415"/>
      <c r="R462" s="90"/>
      <c r="S462" s="1435"/>
      <c r="T462" s="1437"/>
      <c r="U462" s="1436"/>
      <c r="V462" s="1394"/>
      <c r="W462" s="1395"/>
      <c r="X462" s="1396"/>
      <c r="Y462" s="1394"/>
      <c r="Z462" s="1395"/>
      <c r="AA462" s="1396"/>
      <c r="AB462" s="1394"/>
      <c r="AC462" s="1395"/>
      <c r="AD462" s="1396"/>
      <c r="AE462" s="1394"/>
      <c r="AF462" s="1396"/>
      <c r="AG462" s="1435"/>
      <c r="AH462" s="1437"/>
      <c r="AI462" s="1437"/>
      <c r="AJ462" s="1437"/>
      <c r="AK462" s="1437"/>
      <c r="AL462" s="1436"/>
      <c r="AM462" s="83"/>
    </row>
    <row r="463" spans="2:39" ht="22.5" customHeight="1" x14ac:dyDescent="0.2">
      <c r="B463" s="1399"/>
      <c r="C463" s="192">
        <v>6</v>
      </c>
      <c r="D463" s="1414" t="s">
        <v>389</v>
      </c>
      <c r="E463" s="1415"/>
      <c r="F463" s="1415"/>
      <c r="G463" s="1415"/>
      <c r="H463" s="1415"/>
      <c r="I463" s="1415"/>
      <c r="J463" s="1415"/>
      <c r="K463" s="1415"/>
      <c r="L463" s="1415"/>
      <c r="M463" s="1415"/>
      <c r="N463" s="1415"/>
      <c r="O463" s="1415"/>
      <c r="P463" s="1415"/>
      <c r="Q463" s="1415"/>
      <c r="S463" s="1397"/>
      <c r="T463" s="1398"/>
      <c r="U463" s="1399"/>
      <c r="V463" s="1394"/>
      <c r="W463" s="1395"/>
      <c r="X463" s="1396"/>
      <c r="Y463" s="1394"/>
      <c r="Z463" s="1395"/>
      <c r="AA463" s="1396"/>
      <c r="AB463" s="1394"/>
      <c r="AC463" s="1395"/>
      <c r="AD463" s="1396"/>
      <c r="AE463" s="1394"/>
      <c r="AF463" s="1396"/>
      <c r="AG463" s="1394"/>
      <c r="AH463" s="1395"/>
      <c r="AI463" s="1395"/>
      <c r="AJ463" s="1395"/>
      <c r="AK463" s="1395"/>
      <c r="AL463" s="1395"/>
      <c r="AM463" s="83"/>
    </row>
    <row r="464" spans="2:39" ht="23.25" customHeight="1" x14ac:dyDescent="0.2">
      <c r="B464" s="1399"/>
      <c r="C464" s="192">
        <v>7</v>
      </c>
      <c r="D464" s="1414" t="s">
        <v>390</v>
      </c>
      <c r="E464" s="1415"/>
      <c r="F464" s="1415"/>
      <c r="G464" s="1415"/>
      <c r="H464" s="1415"/>
      <c r="I464" s="1415"/>
      <c r="J464" s="1415"/>
      <c r="K464" s="1415"/>
      <c r="L464" s="1415"/>
      <c r="M464" s="1415"/>
      <c r="N464" s="1415"/>
      <c r="O464" s="1415"/>
      <c r="P464" s="1415"/>
      <c r="Q464" s="1415"/>
      <c r="R464" s="90"/>
      <c r="S464" s="1435"/>
      <c r="T464" s="1437"/>
      <c r="U464" s="1436"/>
      <c r="V464" s="1394"/>
      <c r="W464" s="1395"/>
      <c r="X464" s="1396"/>
      <c r="Y464" s="1394"/>
      <c r="Z464" s="1395"/>
      <c r="AA464" s="1396"/>
      <c r="AB464" s="1394"/>
      <c r="AC464" s="1395"/>
      <c r="AD464" s="1396"/>
      <c r="AE464" s="1394"/>
      <c r="AF464" s="1396"/>
      <c r="AG464" s="1394"/>
      <c r="AH464" s="1395"/>
      <c r="AI464" s="1395"/>
      <c r="AJ464" s="1395"/>
      <c r="AK464" s="1395"/>
      <c r="AL464" s="1395"/>
      <c r="AM464" s="83"/>
    </row>
    <row r="465" spans="2:39" ht="25.5" customHeight="1" x14ac:dyDescent="0.2">
      <c r="B465" s="1399"/>
      <c r="C465" s="192">
        <v>8</v>
      </c>
      <c r="D465" s="1414" t="s">
        <v>391</v>
      </c>
      <c r="E465" s="1415"/>
      <c r="F465" s="1415"/>
      <c r="G465" s="1415"/>
      <c r="H465" s="1415"/>
      <c r="I465" s="1415"/>
      <c r="J465" s="1415"/>
      <c r="K465" s="1415"/>
      <c r="L465" s="1415"/>
      <c r="M465" s="1415"/>
      <c r="N465" s="1415"/>
      <c r="O465" s="1415"/>
      <c r="P465" s="1415"/>
      <c r="Q465" s="1415"/>
      <c r="S465" s="1397"/>
      <c r="T465" s="1398"/>
      <c r="U465" s="1399"/>
      <c r="V465" s="1394"/>
      <c r="W465" s="1395"/>
      <c r="X465" s="1396"/>
      <c r="Y465" s="1394"/>
      <c r="Z465" s="1395"/>
      <c r="AA465" s="1396"/>
      <c r="AB465" s="1394"/>
      <c r="AC465" s="1395"/>
      <c r="AD465" s="1396"/>
      <c r="AE465" s="1394"/>
      <c r="AF465" s="1396"/>
      <c r="AG465" s="1394"/>
      <c r="AH465" s="1395"/>
      <c r="AI465" s="1395"/>
      <c r="AJ465" s="1395"/>
      <c r="AK465" s="1395"/>
      <c r="AL465" s="1395"/>
      <c r="AM465" s="83"/>
    </row>
    <row r="466" spans="2:39" ht="24" customHeight="1" x14ac:dyDescent="0.2">
      <c r="B466" s="1399"/>
      <c r="C466" s="192">
        <v>9</v>
      </c>
      <c r="D466" s="1414" t="s">
        <v>392</v>
      </c>
      <c r="E466" s="1415"/>
      <c r="F466" s="1415"/>
      <c r="G466" s="1415"/>
      <c r="H466" s="1415"/>
      <c r="I466" s="1415"/>
      <c r="J466" s="1415"/>
      <c r="K466" s="1415"/>
      <c r="L466" s="1415"/>
      <c r="M466" s="1415"/>
      <c r="N466" s="1415"/>
      <c r="O466" s="1415"/>
      <c r="P466" s="1415"/>
      <c r="Q466" s="1415"/>
      <c r="R466" s="89"/>
      <c r="S466" s="1394"/>
      <c r="T466" s="1395"/>
      <c r="U466" s="1396"/>
      <c r="V466" s="1394"/>
      <c r="W466" s="1395"/>
      <c r="X466" s="1396"/>
      <c r="Y466" s="1394"/>
      <c r="Z466" s="1395"/>
      <c r="AA466" s="1396"/>
      <c r="AB466" s="1394"/>
      <c r="AC466" s="1395"/>
      <c r="AD466" s="1396"/>
      <c r="AE466" s="1394"/>
      <c r="AF466" s="1396"/>
      <c r="AG466" s="1394"/>
      <c r="AH466" s="1395"/>
      <c r="AI466" s="1395"/>
      <c r="AJ466" s="1395"/>
      <c r="AK466" s="1395"/>
      <c r="AL466" s="1395"/>
      <c r="AM466" s="83"/>
    </row>
    <row r="467" spans="2:39" ht="15" customHeight="1" x14ac:dyDescent="0.2">
      <c r="B467" s="1399"/>
      <c r="C467" s="192">
        <v>10</v>
      </c>
      <c r="D467" s="1414" t="s">
        <v>393</v>
      </c>
      <c r="E467" s="1415"/>
      <c r="F467" s="1415"/>
      <c r="G467" s="1415"/>
      <c r="H467" s="1415"/>
      <c r="I467" s="1415"/>
      <c r="J467" s="1415"/>
      <c r="K467" s="1415"/>
      <c r="L467" s="1415"/>
      <c r="M467" s="1415"/>
      <c r="N467" s="1415"/>
      <c r="O467" s="1415"/>
      <c r="P467" s="1415"/>
      <c r="Q467" s="1415"/>
      <c r="S467" s="1394"/>
      <c r="T467" s="1395"/>
      <c r="U467" s="1396"/>
      <c r="V467" s="1394"/>
      <c r="W467" s="1395"/>
      <c r="X467" s="1396"/>
      <c r="Y467" s="1394"/>
      <c r="Z467" s="1395"/>
      <c r="AA467" s="1396"/>
      <c r="AB467" s="1394"/>
      <c r="AC467" s="1395"/>
      <c r="AD467" s="1396"/>
      <c r="AE467" s="1394"/>
      <c r="AF467" s="1396"/>
      <c r="AG467" s="1394"/>
      <c r="AH467" s="1395"/>
      <c r="AI467" s="1395"/>
      <c r="AJ467" s="1395"/>
      <c r="AK467" s="1395"/>
      <c r="AL467" s="1395"/>
      <c r="AM467" s="83"/>
    </row>
    <row r="468" spans="2:39" ht="15.75" customHeight="1" x14ac:dyDescent="0.2">
      <c r="B468" s="1399"/>
      <c r="C468" s="192">
        <v>11</v>
      </c>
      <c r="D468" s="1414" t="s">
        <v>394</v>
      </c>
      <c r="E468" s="1415"/>
      <c r="F468" s="1415"/>
      <c r="G468" s="1415"/>
      <c r="H468" s="1415"/>
      <c r="I468" s="1415"/>
      <c r="J468" s="1415"/>
      <c r="K468" s="1415"/>
      <c r="L468" s="1415"/>
      <c r="M468" s="1415"/>
      <c r="N468" s="1415"/>
      <c r="O468" s="1415"/>
      <c r="P468" s="1415"/>
      <c r="Q468" s="1415"/>
      <c r="R468" s="89"/>
      <c r="S468" s="1394"/>
      <c r="T468" s="1395"/>
      <c r="U468" s="1396"/>
      <c r="V468" s="1394"/>
      <c r="W468" s="1395"/>
      <c r="X468" s="1396"/>
      <c r="Y468" s="1394"/>
      <c r="Z468" s="1395"/>
      <c r="AA468" s="1396"/>
      <c r="AB468" s="1394"/>
      <c r="AC468" s="1395"/>
      <c r="AD468" s="1396"/>
      <c r="AE468" s="1394"/>
      <c r="AF468" s="1396"/>
      <c r="AG468" s="1394"/>
      <c r="AH468" s="1395"/>
      <c r="AI468" s="1395"/>
      <c r="AJ468" s="1395"/>
      <c r="AK468" s="1395"/>
      <c r="AL468" s="1395"/>
      <c r="AM468" s="83"/>
    </row>
    <row r="469" spans="2:39" ht="17.25" customHeight="1" x14ac:dyDescent="0.2">
      <c r="B469" s="1399"/>
      <c r="C469" s="192">
        <v>12</v>
      </c>
      <c r="D469" s="1414" t="s">
        <v>395</v>
      </c>
      <c r="E469" s="1415"/>
      <c r="F469" s="1415"/>
      <c r="G469" s="1415"/>
      <c r="H469" s="1415"/>
      <c r="I469" s="1415"/>
      <c r="J469" s="1415"/>
      <c r="K469" s="1415"/>
      <c r="L469" s="1415"/>
      <c r="M469" s="1415"/>
      <c r="N469" s="1415"/>
      <c r="O469" s="1415"/>
      <c r="P469" s="1415"/>
      <c r="Q469" s="1415"/>
      <c r="S469" s="1394"/>
      <c r="T469" s="1395"/>
      <c r="U469" s="1396"/>
      <c r="V469" s="1394"/>
      <c r="W469" s="1395"/>
      <c r="X469" s="1396"/>
      <c r="Y469" s="1394"/>
      <c r="Z469" s="1395"/>
      <c r="AA469" s="1396"/>
      <c r="AB469" s="1394"/>
      <c r="AC469" s="1395"/>
      <c r="AD469" s="1396"/>
      <c r="AE469" s="1394"/>
      <c r="AF469" s="1396"/>
      <c r="AG469" s="1394"/>
      <c r="AH469" s="1395"/>
      <c r="AI469" s="1395"/>
      <c r="AJ469" s="1395"/>
      <c r="AK469" s="1395"/>
      <c r="AL469" s="1395"/>
      <c r="AM469" s="83"/>
    </row>
    <row r="470" spans="2:39" ht="18" customHeight="1" x14ac:dyDescent="0.2">
      <c r="B470" s="1399"/>
      <c r="C470" s="192">
        <v>13</v>
      </c>
      <c r="D470" s="1414" t="s">
        <v>396</v>
      </c>
      <c r="E470" s="1415"/>
      <c r="F470" s="1415"/>
      <c r="G470" s="1415"/>
      <c r="H470" s="1415"/>
      <c r="I470" s="1415"/>
      <c r="J470" s="1415"/>
      <c r="K470" s="1415"/>
      <c r="L470" s="1415"/>
      <c r="M470" s="1415"/>
      <c r="N470" s="1415"/>
      <c r="O470" s="1415"/>
      <c r="P470" s="1415"/>
      <c r="Q470" s="1415"/>
      <c r="R470" s="90"/>
      <c r="S470" s="1435"/>
      <c r="T470" s="1437"/>
      <c r="U470" s="1436"/>
      <c r="V470" s="1435"/>
      <c r="W470" s="1437"/>
      <c r="X470" s="1436"/>
      <c r="Y470" s="1435"/>
      <c r="Z470" s="1437"/>
      <c r="AA470" s="1436"/>
      <c r="AB470" s="1435"/>
      <c r="AC470" s="1437"/>
      <c r="AD470" s="1436"/>
      <c r="AE470" s="1435"/>
      <c r="AF470" s="1436"/>
      <c r="AG470" s="1394"/>
      <c r="AH470" s="1395"/>
      <c r="AI470" s="1395"/>
      <c r="AJ470" s="1395"/>
      <c r="AK470" s="1395"/>
      <c r="AL470" s="1395"/>
      <c r="AM470" s="83"/>
    </row>
    <row r="471" spans="2:39" ht="17.25" customHeight="1" x14ac:dyDescent="0.25">
      <c r="B471" s="1399"/>
      <c r="C471" s="192">
        <v>14</v>
      </c>
      <c r="D471" s="1414" t="s">
        <v>397</v>
      </c>
      <c r="E471" s="1415"/>
      <c r="F471" s="1415"/>
      <c r="G471" s="1415"/>
      <c r="H471" s="1415"/>
      <c r="I471" s="1415"/>
      <c r="J471" s="1415"/>
      <c r="K471" s="1415"/>
      <c r="L471" s="1415"/>
      <c r="M471" s="1415"/>
      <c r="N471" s="1415"/>
      <c r="O471" s="1415"/>
      <c r="P471" s="1415"/>
      <c r="Q471" s="1415"/>
      <c r="S471" s="1545" t="s">
        <v>854</v>
      </c>
      <c r="T471" s="1546"/>
      <c r="U471" s="1547"/>
      <c r="V471" s="1441" t="s">
        <v>854</v>
      </c>
      <c r="W471" s="1442"/>
      <c r="X471" s="1443"/>
      <c r="Y471" s="1441" t="s">
        <v>854</v>
      </c>
      <c r="Z471" s="1442"/>
      <c r="AA471" s="1443"/>
      <c r="AB471" s="1441" t="s">
        <v>854</v>
      </c>
      <c r="AC471" s="1442"/>
      <c r="AD471" s="1443"/>
      <c r="AE471" s="1441" t="s">
        <v>854</v>
      </c>
      <c r="AF471" s="1443"/>
      <c r="AG471" s="1441" t="s">
        <v>854</v>
      </c>
      <c r="AH471" s="1442"/>
      <c r="AI471" s="1442"/>
      <c r="AJ471" s="1442"/>
      <c r="AK471" s="1442"/>
      <c r="AL471" s="1442"/>
      <c r="AM471" s="83"/>
    </row>
    <row r="472" spans="2:39" ht="27" customHeight="1" x14ac:dyDescent="0.2">
      <c r="B472" s="1399"/>
      <c r="C472" s="192">
        <v>15</v>
      </c>
      <c r="D472" s="1414" t="s">
        <v>399</v>
      </c>
      <c r="E472" s="1415"/>
      <c r="F472" s="1415"/>
      <c r="G472" s="1415"/>
      <c r="H472" s="1415"/>
      <c r="I472" s="1415"/>
      <c r="J472" s="1415"/>
      <c r="K472" s="1415"/>
      <c r="L472" s="1415"/>
      <c r="M472" s="1415"/>
      <c r="N472" s="1415"/>
      <c r="O472" s="1415"/>
      <c r="P472" s="1415"/>
      <c r="Q472" s="1415"/>
      <c r="R472" s="90"/>
      <c r="S472" s="1435"/>
      <c r="T472" s="1437"/>
      <c r="U472" s="1436"/>
      <c r="V472" s="1394"/>
      <c r="W472" s="1395"/>
      <c r="X472" s="1396"/>
      <c r="Y472" s="1394"/>
      <c r="Z472" s="1395"/>
      <c r="AA472" s="1396"/>
      <c r="AB472" s="1394"/>
      <c r="AC472" s="1395"/>
      <c r="AD472" s="1396"/>
      <c r="AE472" s="1394"/>
      <c r="AF472" s="1396"/>
      <c r="AG472" s="1394"/>
      <c r="AH472" s="1395"/>
      <c r="AI472" s="1395"/>
      <c r="AJ472" s="1395"/>
      <c r="AK472" s="1395"/>
      <c r="AL472" s="1395"/>
      <c r="AM472" s="83"/>
    </row>
    <row r="473" spans="2:39" ht="18" customHeight="1" x14ac:dyDescent="0.2">
      <c r="B473" s="1399"/>
      <c r="C473" s="192">
        <v>16</v>
      </c>
      <c r="D473" s="1412" t="s">
        <v>400</v>
      </c>
      <c r="E473" s="1413"/>
      <c r="F473" s="1413"/>
      <c r="G473" s="1413"/>
      <c r="H473" s="1413"/>
      <c r="I473" s="1413"/>
      <c r="J473" s="1413"/>
      <c r="K473" s="1413"/>
      <c r="L473" s="1413"/>
      <c r="M473" s="1413"/>
      <c r="N473" s="1413"/>
      <c r="O473" s="1413"/>
      <c r="P473" s="1413"/>
      <c r="Q473" s="1413"/>
      <c r="R473" s="1457"/>
      <c r="S473" s="1397"/>
      <c r="T473" s="1398"/>
      <c r="U473" s="1399"/>
      <c r="V473" s="1394"/>
      <c r="W473" s="1395"/>
      <c r="X473" s="1396"/>
      <c r="Y473" s="1394"/>
      <c r="Z473" s="1395"/>
      <c r="AA473" s="1396"/>
      <c r="AB473" s="1394"/>
      <c r="AC473" s="1395"/>
      <c r="AD473" s="1396"/>
      <c r="AE473" s="1394"/>
      <c r="AF473" s="1396"/>
      <c r="AG473" s="1394"/>
      <c r="AH473" s="1395"/>
      <c r="AI473" s="1395"/>
      <c r="AJ473" s="1395"/>
      <c r="AK473" s="1395"/>
      <c r="AL473" s="1395"/>
      <c r="AM473" s="83"/>
    </row>
    <row r="474" spans="2:39" ht="24" customHeight="1" x14ac:dyDescent="0.2">
      <c r="B474" s="1402"/>
      <c r="C474" s="192">
        <v>17</v>
      </c>
      <c r="D474" s="1414" t="s">
        <v>401</v>
      </c>
      <c r="E474" s="1415"/>
      <c r="F474" s="1415"/>
      <c r="G474" s="1415"/>
      <c r="H474" s="1415"/>
      <c r="I474" s="1415"/>
      <c r="J474" s="1415"/>
      <c r="K474" s="1415"/>
      <c r="L474" s="1415"/>
      <c r="M474" s="1415"/>
      <c r="N474" s="1415"/>
      <c r="O474" s="1415"/>
      <c r="P474" s="1415"/>
      <c r="Q474" s="1415"/>
      <c r="R474" s="89"/>
      <c r="S474" s="1435"/>
      <c r="T474" s="1437"/>
      <c r="U474" s="1436"/>
      <c r="V474" s="1435"/>
      <c r="W474" s="1437"/>
      <c r="X474" s="1436"/>
      <c r="Y474" s="1435"/>
      <c r="Z474" s="1437"/>
      <c r="AA474" s="1436"/>
      <c r="AB474" s="1435"/>
      <c r="AC474" s="1437"/>
      <c r="AD474" s="1436"/>
      <c r="AE474" s="1435"/>
      <c r="AF474" s="1436"/>
      <c r="AG474" s="1435"/>
      <c r="AH474" s="1437"/>
      <c r="AI474" s="1437"/>
      <c r="AJ474" s="1437"/>
      <c r="AK474" s="1437"/>
      <c r="AL474" s="1437"/>
      <c r="AM474" s="83"/>
    </row>
    <row r="476" spans="2:39" ht="13.2" x14ac:dyDescent="0.25">
      <c r="B476" s="1467" t="s">
        <v>535</v>
      </c>
      <c r="C476" s="1468"/>
      <c r="D476" s="1468"/>
      <c r="E476" s="1468"/>
      <c r="F476" s="1468"/>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x14ac:dyDescent="0.2">
      <c r="B477" s="1446"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394"/>
      <c r="AF477" s="1395"/>
      <c r="AG477" s="1395"/>
      <c r="AH477" s="1395"/>
      <c r="AI477" s="1395"/>
      <c r="AJ477" s="1395"/>
      <c r="AK477" s="1395"/>
      <c r="AL477" s="1396"/>
      <c r="AM477" s="83"/>
    </row>
    <row r="478" spans="2:39" ht="17.100000000000001" customHeight="1" x14ac:dyDescent="0.25">
      <c r="B478" s="1447"/>
      <c r="C478" s="1449"/>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391"/>
      <c r="Y478" s="1391"/>
      <c r="Z478" s="1391"/>
      <c r="AA478" s="1391"/>
      <c r="AB478" s="1391"/>
      <c r="AC478" s="90"/>
      <c r="AD478" s="247" t="s">
        <v>854</v>
      </c>
      <c r="AE478" s="1397"/>
      <c r="AF478" s="1398"/>
      <c r="AG478" s="1398"/>
      <c r="AH478" s="1398"/>
      <c r="AI478" s="1398"/>
      <c r="AJ478" s="1398"/>
      <c r="AK478" s="1398"/>
      <c r="AL478" s="1399"/>
      <c r="AM478" s="83"/>
    </row>
    <row r="479" spans="2:39" ht="17.100000000000001" customHeight="1" x14ac:dyDescent="0.25">
      <c r="B479" s="1447"/>
      <c r="C479" s="1450"/>
      <c r="D479" s="153" t="s">
        <v>615</v>
      </c>
      <c r="E479" s="254" t="s">
        <v>436</v>
      </c>
      <c r="V479" s="153" t="s">
        <v>811</v>
      </c>
      <c r="X479" s="1391"/>
      <c r="Y479" s="1391"/>
      <c r="Z479" s="1391"/>
      <c r="AA479" s="1391"/>
      <c r="AB479" s="1391"/>
      <c r="AC479" s="90"/>
      <c r="AD479" s="247" t="s">
        <v>854</v>
      </c>
      <c r="AE479" s="1397"/>
      <c r="AF479" s="1398"/>
      <c r="AG479" s="1398"/>
      <c r="AH479" s="1398"/>
      <c r="AI479" s="1398"/>
      <c r="AJ479" s="1398"/>
      <c r="AK479" s="1398"/>
      <c r="AL479" s="1399"/>
      <c r="AM479" s="83"/>
    </row>
    <row r="480" spans="2:39" ht="17.100000000000001" customHeight="1" x14ac:dyDescent="0.25">
      <c r="B480" s="1447"/>
      <c r="C480" s="1450"/>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391"/>
      <c r="Y480" s="1391"/>
      <c r="Z480" s="1391"/>
      <c r="AA480" s="1391"/>
      <c r="AB480" s="1391"/>
      <c r="AC480" s="90"/>
      <c r="AD480" s="247" t="s">
        <v>854</v>
      </c>
      <c r="AE480" s="1397"/>
      <c r="AF480" s="1398"/>
      <c r="AG480" s="1398"/>
      <c r="AH480" s="1398"/>
      <c r="AI480" s="1398"/>
      <c r="AJ480" s="1398"/>
      <c r="AK480" s="1398"/>
      <c r="AL480" s="1399"/>
      <c r="AM480" s="83"/>
    </row>
    <row r="481" spans="2:39" ht="17.100000000000001" customHeight="1" x14ac:dyDescent="0.25">
      <c r="B481" s="1447"/>
      <c r="C481" s="1450"/>
      <c r="D481" s="153" t="s">
        <v>619</v>
      </c>
      <c r="E481" s="254" t="s">
        <v>437</v>
      </c>
      <c r="V481" s="153" t="s">
        <v>816</v>
      </c>
      <c r="X481" s="1391"/>
      <c r="Y481" s="1391"/>
      <c r="Z481" s="1391"/>
      <c r="AA481" s="1391"/>
      <c r="AB481" s="1391"/>
      <c r="AC481" s="90"/>
      <c r="AD481" s="247" t="s">
        <v>854</v>
      </c>
      <c r="AE481" s="1397"/>
      <c r="AF481" s="1398"/>
      <c r="AG481" s="1398"/>
      <c r="AH481" s="1398"/>
      <c r="AI481" s="1398"/>
      <c r="AJ481" s="1398"/>
      <c r="AK481" s="1398"/>
      <c r="AL481" s="1399"/>
      <c r="AM481" s="83"/>
    </row>
    <row r="482" spans="2:39" ht="17.100000000000001" customHeight="1" x14ac:dyDescent="0.25">
      <c r="B482" s="1447"/>
      <c r="C482" s="1450"/>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391"/>
      <c r="Y482" s="1391"/>
      <c r="Z482" s="1391"/>
      <c r="AA482" s="1391"/>
      <c r="AB482" s="1391"/>
      <c r="AC482" s="90"/>
      <c r="AD482" s="247" t="s">
        <v>854</v>
      </c>
      <c r="AE482" s="1397"/>
      <c r="AF482" s="1398"/>
      <c r="AG482" s="1398"/>
      <c r="AH482" s="1398"/>
      <c r="AI482" s="1398"/>
      <c r="AJ482" s="1398"/>
      <c r="AK482" s="1398"/>
      <c r="AL482" s="1399"/>
      <c r="AM482" s="83"/>
    </row>
    <row r="483" spans="2:39" ht="17.100000000000001" customHeight="1" x14ac:dyDescent="0.25">
      <c r="B483" s="1447"/>
      <c r="C483" s="1450"/>
      <c r="D483" s="153" t="s">
        <v>750</v>
      </c>
      <c r="E483" s="254" t="s">
        <v>439</v>
      </c>
      <c r="V483" s="153" t="s">
        <v>818</v>
      </c>
      <c r="X483" s="1391"/>
      <c r="Y483" s="1391"/>
      <c r="Z483" s="1391"/>
      <c r="AA483" s="1391"/>
      <c r="AB483" s="1391"/>
      <c r="AC483" s="90"/>
      <c r="AD483" s="247" t="s">
        <v>854</v>
      </c>
      <c r="AE483" s="1397"/>
      <c r="AF483" s="1398"/>
      <c r="AG483" s="1398"/>
      <c r="AH483" s="1398"/>
      <c r="AI483" s="1398"/>
      <c r="AJ483" s="1398"/>
      <c r="AK483" s="1398"/>
      <c r="AL483" s="1399"/>
      <c r="AM483" s="83"/>
    </row>
    <row r="484" spans="2:39" ht="17.100000000000001" customHeight="1" x14ac:dyDescent="0.25">
      <c r="B484" s="1447"/>
      <c r="C484" s="1450"/>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391"/>
      <c r="Y484" s="1391"/>
      <c r="Z484" s="1391"/>
      <c r="AA484" s="1391"/>
      <c r="AB484" s="1391"/>
      <c r="AC484" s="90"/>
      <c r="AD484" s="247" t="s">
        <v>854</v>
      </c>
      <c r="AE484" s="1400"/>
      <c r="AF484" s="1401"/>
      <c r="AG484" s="1401"/>
      <c r="AH484" s="1401"/>
      <c r="AI484" s="1401"/>
      <c r="AJ484" s="1401"/>
      <c r="AK484" s="1401"/>
      <c r="AL484" s="1402"/>
      <c r="AM484" s="83"/>
    </row>
    <row r="485" spans="2:39" ht="17.100000000000001" customHeight="1" x14ac:dyDescent="0.25">
      <c r="B485" s="1447"/>
      <c r="C485" s="1451"/>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390"/>
      <c r="AH485" s="1390"/>
      <c r="AI485" s="1390"/>
      <c r="AJ485" s="1390"/>
      <c r="AK485" s="1390"/>
      <c r="AL485" s="258" t="s">
        <v>854</v>
      </c>
      <c r="AM485" s="83"/>
    </row>
    <row r="486" spans="2:39" ht="17.100000000000001" customHeight="1" x14ac:dyDescent="0.2">
      <c r="B486" s="1447"/>
      <c r="C486" s="148">
        <v>2</v>
      </c>
      <c r="D486" s="202" t="s">
        <v>403</v>
      </c>
      <c r="E486" s="136"/>
      <c r="AE486" s="1394"/>
      <c r="AF486" s="1395"/>
      <c r="AG486" s="1395"/>
      <c r="AH486" s="1395"/>
      <c r="AI486" s="1395"/>
      <c r="AJ486" s="1395"/>
      <c r="AK486" s="1395"/>
      <c r="AL486" s="1396"/>
      <c r="AM486" s="83"/>
    </row>
    <row r="487" spans="2:39" ht="17.100000000000001" customHeight="1" x14ac:dyDescent="0.25">
      <c r="B487" s="1447"/>
      <c r="C487" s="1452"/>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391"/>
      <c r="Y487" s="1391"/>
      <c r="Z487" s="1391"/>
      <c r="AA487" s="1391"/>
      <c r="AB487" s="1391"/>
      <c r="AC487" s="90"/>
      <c r="AD487" s="247" t="s">
        <v>854</v>
      </c>
      <c r="AE487" s="1397"/>
      <c r="AF487" s="1398"/>
      <c r="AG487" s="1398"/>
      <c r="AH487" s="1398"/>
      <c r="AI487" s="1398"/>
      <c r="AJ487" s="1398"/>
      <c r="AK487" s="1398"/>
      <c r="AL487" s="1399"/>
      <c r="AM487" s="83"/>
    </row>
    <row r="488" spans="2:39" ht="17.100000000000001" customHeight="1" x14ac:dyDescent="0.25">
      <c r="B488" s="1447"/>
      <c r="C488" s="1453"/>
      <c r="D488" s="145" t="s">
        <v>615</v>
      </c>
      <c r="E488" s="257" t="s">
        <v>126</v>
      </c>
      <c r="V488" s="153" t="s">
        <v>821</v>
      </c>
      <c r="W488" s="90"/>
      <c r="X488" s="1391"/>
      <c r="Y488" s="1391"/>
      <c r="Z488" s="1391"/>
      <c r="AA488" s="1391"/>
      <c r="AB488" s="1391"/>
      <c r="AC488" s="90"/>
      <c r="AD488" s="247" t="s">
        <v>854</v>
      </c>
      <c r="AE488" s="1397"/>
      <c r="AF488" s="1398"/>
      <c r="AG488" s="1398"/>
      <c r="AH488" s="1398"/>
      <c r="AI488" s="1398"/>
      <c r="AJ488" s="1398"/>
      <c r="AK488" s="1398"/>
      <c r="AL488" s="1399"/>
      <c r="AM488" s="83"/>
    </row>
    <row r="489" spans="2:39" ht="17.100000000000001" customHeight="1" x14ac:dyDescent="0.25">
      <c r="B489" s="1447"/>
      <c r="C489" s="1453"/>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391"/>
      <c r="Y489" s="1391"/>
      <c r="Z489" s="1391"/>
      <c r="AA489" s="1391"/>
      <c r="AB489" s="1391"/>
      <c r="AC489" s="90"/>
      <c r="AD489" s="247" t="s">
        <v>854</v>
      </c>
      <c r="AE489" s="1400"/>
      <c r="AF489" s="1401"/>
      <c r="AG489" s="1401"/>
      <c r="AH489" s="1401"/>
      <c r="AI489" s="1401"/>
      <c r="AJ489" s="1401"/>
      <c r="AK489" s="1401"/>
      <c r="AL489" s="1402"/>
      <c r="AM489" s="83"/>
    </row>
    <row r="490" spans="2:39" ht="17.100000000000001" customHeight="1" x14ac:dyDescent="0.25">
      <c r="B490" s="1447"/>
      <c r="C490" s="1454"/>
      <c r="D490" s="143" t="s">
        <v>619</v>
      </c>
      <c r="E490" s="202" t="s">
        <v>407</v>
      </c>
      <c r="AE490" s="153" t="s">
        <v>796</v>
      </c>
      <c r="AG490" s="1390"/>
      <c r="AH490" s="1390"/>
      <c r="AI490" s="1390"/>
      <c r="AJ490" s="1390"/>
      <c r="AK490" s="1390"/>
      <c r="AL490" s="258" t="s">
        <v>854</v>
      </c>
      <c r="AM490" s="83"/>
    </row>
    <row r="491" spans="2:39" ht="17.100000000000001" customHeight="1" x14ac:dyDescent="0.25">
      <c r="B491" s="1447"/>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390"/>
      <c r="AH491" s="1390"/>
      <c r="AI491" s="1390"/>
      <c r="AJ491" s="1390"/>
      <c r="AK491" s="1390"/>
      <c r="AL491" s="258" t="s">
        <v>854</v>
      </c>
      <c r="AM491" s="83"/>
    </row>
    <row r="492" spans="2:39" ht="17.100000000000001" customHeight="1" x14ac:dyDescent="0.25">
      <c r="B492" s="1447"/>
      <c r="C492" s="148">
        <v>4</v>
      </c>
      <c r="D492" s="202" t="s">
        <v>441</v>
      </c>
      <c r="E492" s="136"/>
      <c r="AE492" s="153">
        <v>4</v>
      </c>
      <c r="AG492" s="1390"/>
      <c r="AH492" s="1390"/>
      <c r="AI492" s="1390"/>
      <c r="AJ492" s="1390"/>
      <c r="AK492" s="1390"/>
      <c r="AL492" s="258" t="s">
        <v>854</v>
      </c>
      <c r="AM492" s="83"/>
    </row>
    <row r="493" spans="2:39" ht="17.100000000000001" customHeight="1" x14ac:dyDescent="0.25">
      <c r="B493" s="1447"/>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390"/>
      <c r="AH493" s="1390"/>
      <c r="AI493" s="1390"/>
      <c r="AJ493" s="1390"/>
      <c r="AK493" s="1390"/>
      <c r="AL493" s="258" t="s">
        <v>854</v>
      </c>
      <c r="AM493" s="83"/>
    </row>
    <row r="494" spans="2:39" ht="17.100000000000001" customHeight="1" x14ac:dyDescent="0.25">
      <c r="B494" s="1448"/>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390"/>
      <c r="AH494" s="1390"/>
      <c r="AI494" s="1390"/>
      <c r="AJ494" s="1390"/>
      <c r="AK494" s="1390"/>
      <c r="AL494" s="258" t="s">
        <v>854</v>
      </c>
      <c r="AM494" s="83"/>
    </row>
    <row r="495" spans="2:39" ht="15.9" customHeight="1" x14ac:dyDescent="0.2"/>
    <row r="496" spans="2:39" ht="15.9" customHeight="1" x14ac:dyDescent="0.25">
      <c r="B496" s="1467" t="s">
        <v>538</v>
      </c>
      <c r="C496" s="1468"/>
      <c r="D496" s="1468"/>
      <c r="E496" s="1468"/>
      <c r="F496" s="1468"/>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 customHeight="1" x14ac:dyDescent="0.2">
      <c r="B497" s="1399"/>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394"/>
      <c r="AF497" s="1395"/>
      <c r="AG497" s="1395"/>
      <c r="AH497" s="1395"/>
      <c r="AI497" s="1395"/>
      <c r="AJ497" s="1395"/>
      <c r="AK497" s="1395"/>
      <c r="AL497" s="1396"/>
      <c r="AM497" s="83"/>
    </row>
    <row r="498" spans="2:39" ht="17.100000000000001" customHeight="1" x14ac:dyDescent="0.25">
      <c r="B498" s="1399"/>
      <c r="C498" s="1452"/>
      <c r="D498" s="153" t="s">
        <v>613</v>
      </c>
      <c r="E498" s="257" t="s">
        <v>129</v>
      </c>
      <c r="V498" s="153" t="s">
        <v>812</v>
      </c>
      <c r="W498" s="90"/>
      <c r="X498" s="1392">
        <v>0</v>
      </c>
      <c r="Y498" s="1391"/>
      <c r="Z498" s="1391"/>
      <c r="AA498" s="1391"/>
      <c r="AB498" s="1393"/>
      <c r="AC498" s="80"/>
      <c r="AD498" s="247" t="s">
        <v>854</v>
      </c>
      <c r="AE498" s="1397"/>
      <c r="AF498" s="1398"/>
      <c r="AG498" s="1398"/>
      <c r="AH498" s="1398"/>
      <c r="AI498" s="1398"/>
      <c r="AJ498" s="1398"/>
      <c r="AK498" s="1398"/>
      <c r="AL498" s="1399"/>
      <c r="AM498" s="83"/>
    </row>
    <row r="499" spans="2:39" ht="17.100000000000001" customHeight="1" x14ac:dyDescent="0.25">
      <c r="B499" s="1399"/>
      <c r="C499" s="1453"/>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392">
        <v>0</v>
      </c>
      <c r="Y499" s="1391"/>
      <c r="Z499" s="1391"/>
      <c r="AA499" s="1391"/>
      <c r="AB499" s="1393"/>
      <c r="AC499" s="80"/>
      <c r="AD499" s="247" t="s">
        <v>854</v>
      </c>
      <c r="AE499" s="1397"/>
      <c r="AF499" s="1398"/>
      <c r="AG499" s="1398"/>
      <c r="AH499" s="1398"/>
      <c r="AI499" s="1398"/>
      <c r="AJ499" s="1398"/>
      <c r="AK499" s="1398"/>
      <c r="AL499" s="1399"/>
      <c r="AM499" s="83"/>
    </row>
    <row r="500" spans="2:39" ht="17.100000000000001" customHeight="1" x14ac:dyDescent="0.25">
      <c r="B500" s="1399"/>
      <c r="C500" s="1453"/>
      <c r="D500" s="143" t="s">
        <v>617</v>
      </c>
      <c r="E500" s="257" t="s">
        <v>130</v>
      </c>
      <c r="V500" s="153" t="s">
        <v>813</v>
      </c>
      <c r="W500" s="90"/>
      <c r="X500" s="1392">
        <v>0</v>
      </c>
      <c r="Y500" s="1391"/>
      <c r="Z500" s="1391"/>
      <c r="AA500" s="1391"/>
      <c r="AB500" s="1393"/>
      <c r="AC500" s="80"/>
      <c r="AD500" s="247" t="s">
        <v>854</v>
      </c>
      <c r="AE500" s="1397"/>
      <c r="AF500" s="1398"/>
      <c r="AG500" s="1398"/>
      <c r="AH500" s="1398"/>
      <c r="AI500" s="1398"/>
      <c r="AJ500" s="1398"/>
      <c r="AK500" s="1398"/>
      <c r="AL500" s="1399"/>
      <c r="AM500" s="83"/>
    </row>
    <row r="501" spans="2:39" ht="17.100000000000001" customHeight="1" x14ac:dyDescent="0.25">
      <c r="B501" s="1399"/>
      <c r="C501" s="1453"/>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392">
        <v>0</v>
      </c>
      <c r="Y501" s="1391"/>
      <c r="Z501" s="1391"/>
      <c r="AA501" s="1391"/>
      <c r="AB501" s="1393"/>
      <c r="AC501" s="80"/>
      <c r="AD501" s="247" t="s">
        <v>854</v>
      </c>
      <c r="AE501" s="1397"/>
      <c r="AF501" s="1398"/>
      <c r="AG501" s="1398"/>
      <c r="AH501" s="1398"/>
      <c r="AI501" s="1398"/>
      <c r="AJ501" s="1398"/>
      <c r="AK501" s="1398"/>
      <c r="AL501" s="1399"/>
      <c r="AM501" s="83"/>
    </row>
    <row r="502" spans="2:39" ht="17.100000000000001" customHeight="1" x14ac:dyDescent="0.25">
      <c r="B502" s="1399"/>
      <c r="C502" s="1453"/>
      <c r="D502" s="148" t="s">
        <v>726</v>
      </c>
      <c r="E502" s="257" t="s">
        <v>132</v>
      </c>
      <c r="V502" s="153" t="s">
        <v>817</v>
      </c>
      <c r="W502" s="90"/>
      <c r="X502" s="1392">
        <v>0</v>
      </c>
      <c r="Y502" s="1391"/>
      <c r="Z502" s="1391"/>
      <c r="AA502" s="1391"/>
      <c r="AB502" s="1393"/>
      <c r="AC502" s="80"/>
      <c r="AD502" s="247" t="s">
        <v>854</v>
      </c>
      <c r="AE502" s="1397"/>
      <c r="AF502" s="1398"/>
      <c r="AG502" s="1398"/>
      <c r="AH502" s="1398"/>
      <c r="AI502" s="1398"/>
      <c r="AJ502" s="1398"/>
      <c r="AK502" s="1398"/>
      <c r="AL502" s="1399"/>
      <c r="AM502" s="83"/>
    </row>
    <row r="503" spans="2:39" ht="17.100000000000001" customHeight="1" x14ac:dyDescent="0.25">
      <c r="B503" s="1399"/>
      <c r="C503" s="1453"/>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392">
        <v>0</v>
      </c>
      <c r="Y503" s="1391"/>
      <c r="Z503" s="1391"/>
      <c r="AA503" s="1391"/>
      <c r="AB503" s="1393"/>
      <c r="AC503" s="80"/>
      <c r="AD503" s="247" t="s">
        <v>854</v>
      </c>
      <c r="AE503" s="1397"/>
      <c r="AF503" s="1398"/>
      <c r="AG503" s="1398"/>
      <c r="AH503" s="1398"/>
      <c r="AI503" s="1398"/>
      <c r="AJ503" s="1398"/>
      <c r="AK503" s="1398"/>
      <c r="AL503" s="1399"/>
      <c r="AM503" s="83"/>
    </row>
    <row r="504" spans="2:39" ht="17.100000000000001" customHeight="1" x14ac:dyDescent="0.25">
      <c r="B504" s="1399"/>
      <c r="C504" s="1454"/>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392">
        <v>0</v>
      </c>
      <c r="Y504" s="1391"/>
      <c r="Z504" s="1391"/>
      <c r="AA504" s="1391"/>
      <c r="AB504" s="1393"/>
      <c r="AC504" s="80"/>
      <c r="AD504" s="247" t="s">
        <v>854</v>
      </c>
      <c r="AE504" s="1400"/>
      <c r="AF504" s="1401"/>
      <c r="AG504" s="1401"/>
      <c r="AH504" s="1401"/>
      <c r="AI504" s="1401"/>
      <c r="AJ504" s="1401"/>
      <c r="AK504" s="1401"/>
      <c r="AL504" s="1402"/>
      <c r="AM504" s="83"/>
    </row>
    <row r="505" spans="2:39" x14ac:dyDescent="0.2">
      <c r="AE505" s="125" t="s">
        <v>492</v>
      </c>
      <c r="AF505" s="1403" t="s">
        <v>907</v>
      </c>
      <c r="AG505" s="1403"/>
      <c r="AH505" s="1403"/>
      <c r="AI505" s="1403"/>
      <c r="AJ505" s="132" t="s">
        <v>541</v>
      </c>
      <c r="AK505" s="131"/>
      <c r="AL505" s="133">
        <v>9.06</v>
      </c>
    </row>
    <row r="506" spans="2:39" x14ac:dyDescent="0.2">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x14ac:dyDescent="0.25">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390"/>
      <c r="AH507" s="1390"/>
      <c r="AI507" s="1390"/>
      <c r="AJ507" s="1390"/>
      <c r="AK507" s="1390"/>
      <c r="AL507" s="258" t="s">
        <v>854</v>
      </c>
      <c r="AM507" s="83"/>
    </row>
    <row r="508" spans="2:39" ht="15" customHeight="1" x14ac:dyDescent="0.2">
      <c r="B508" s="1399"/>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394"/>
      <c r="AF508" s="1395"/>
      <c r="AG508" s="1395"/>
      <c r="AH508" s="1395"/>
      <c r="AI508" s="1395"/>
      <c r="AJ508" s="1395"/>
      <c r="AK508" s="1395"/>
      <c r="AL508" s="1396"/>
      <c r="AM508" s="83"/>
    </row>
    <row r="509" spans="2:39" ht="27.75" customHeight="1" x14ac:dyDescent="0.25">
      <c r="B509" s="1399"/>
      <c r="C509" s="1452"/>
      <c r="D509" s="185" t="s">
        <v>613</v>
      </c>
      <c r="E509" s="1414" t="s">
        <v>137</v>
      </c>
      <c r="F509" s="1415"/>
      <c r="G509" s="1415"/>
      <c r="H509" s="1415"/>
      <c r="I509" s="1415"/>
      <c r="J509" s="1415"/>
      <c r="K509" s="1415"/>
      <c r="L509" s="1415"/>
      <c r="M509" s="1415"/>
      <c r="N509" s="1415"/>
      <c r="O509" s="1415"/>
      <c r="P509" s="1415"/>
      <c r="Q509" s="1415"/>
      <c r="R509" s="1415"/>
      <c r="S509" s="1415"/>
      <c r="T509" s="1415"/>
      <c r="U509" s="90"/>
      <c r="V509" s="185" t="s">
        <v>787</v>
      </c>
      <c r="W509" s="90"/>
      <c r="X509" s="1392">
        <v>0</v>
      </c>
      <c r="Y509" s="1391"/>
      <c r="Z509" s="1391"/>
      <c r="AA509" s="1391"/>
      <c r="AB509" s="1393"/>
      <c r="AC509" s="80"/>
      <c r="AD509" s="259" t="s">
        <v>854</v>
      </c>
      <c r="AE509" s="1397"/>
      <c r="AF509" s="1398"/>
      <c r="AG509" s="1398"/>
      <c r="AH509" s="1398"/>
      <c r="AI509" s="1398"/>
      <c r="AJ509" s="1398"/>
      <c r="AK509" s="1398"/>
      <c r="AL509" s="1399"/>
      <c r="AM509" s="83"/>
    </row>
    <row r="510" spans="2:39" ht="29.25" customHeight="1" x14ac:dyDescent="0.25">
      <c r="B510" s="1399"/>
      <c r="C510" s="1453"/>
      <c r="D510" s="185" t="s">
        <v>615</v>
      </c>
      <c r="E510" s="1414" t="s">
        <v>466</v>
      </c>
      <c r="F510" s="1415"/>
      <c r="G510" s="1415"/>
      <c r="H510" s="1415"/>
      <c r="I510" s="1415"/>
      <c r="J510" s="1415"/>
      <c r="K510" s="1415"/>
      <c r="L510" s="1415"/>
      <c r="M510" s="1415"/>
      <c r="N510" s="1415"/>
      <c r="O510" s="1415"/>
      <c r="P510" s="1415"/>
      <c r="Q510" s="1415"/>
      <c r="R510" s="1415"/>
      <c r="S510" s="1415"/>
      <c r="T510" s="1415"/>
      <c r="U510" s="90"/>
      <c r="V510" s="185" t="s">
        <v>821</v>
      </c>
      <c r="W510" s="90"/>
      <c r="X510" s="1392">
        <v>0</v>
      </c>
      <c r="Y510" s="1391"/>
      <c r="Z510" s="1391"/>
      <c r="AA510" s="1391"/>
      <c r="AB510" s="1393"/>
      <c r="AC510" s="80"/>
      <c r="AD510" s="259" t="s">
        <v>854</v>
      </c>
      <c r="AE510" s="1397"/>
      <c r="AF510" s="1398"/>
      <c r="AG510" s="1398"/>
      <c r="AH510" s="1398"/>
      <c r="AI510" s="1398"/>
      <c r="AJ510" s="1398"/>
      <c r="AK510" s="1398"/>
      <c r="AL510" s="1399"/>
      <c r="AM510" s="83"/>
    </row>
    <row r="511" spans="2:39" ht="28.5" customHeight="1" x14ac:dyDescent="0.25">
      <c r="B511" s="1399"/>
      <c r="C511" s="1453"/>
      <c r="D511" s="185" t="s">
        <v>617</v>
      </c>
      <c r="E511" s="1414" t="s">
        <v>882</v>
      </c>
      <c r="F511" s="1415"/>
      <c r="G511" s="1415"/>
      <c r="H511" s="1415"/>
      <c r="I511" s="1415"/>
      <c r="J511" s="1415"/>
      <c r="K511" s="1415"/>
      <c r="L511" s="1415"/>
      <c r="M511" s="1415"/>
      <c r="N511" s="1415"/>
      <c r="O511" s="1415"/>
      <c r="P511" s="1415"/>
      <c r="Q511" s="1415"/>
      <c r="R511" s="1415"/>
      <c r="S511" s="1415"/>
      <c r="T511" s="1415"/>
      <c r="V511" s="185" t="s">
        <v>795</v>
      </c>
      <c r="W511" s="90"/>
      <c r="X511" s="1392">
        <v>0</v>
      </c>
      <c r="Y511" s="1391"/>
      <c r="Z511" s="1391"/>
      <c r="AA511" s="1391"/>
      <c r="AB511" s="1393"/>
      <c r="AC511" s="80"/>
      <c r="AD511" s="259" t="s">
        <v>854</v>
      </c>
      <c r="AE511" s="1400"/>
      <c r="AF511" s="1401"/>
      <c r="AG511" s="1401"/>
      <c r="AH511" s="1401"/>
      <c r="AI511" s="1401"/>
      <c r="AJ511" s="1401"/>
      <c r="AK511" s="1401"/>
      <c r="AL511" s="1402"/>
      <c r="AM511" s="83"/>
    </row>
    <row r="512" spans="2:39" ht="14.1" customHeight="1" x14ac:dyDescent="0.25">
      <c r="B512" s="1399"/>
      <c r="C512" s="1454"/>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390"/>
      <c r="AH512" s="1390"/>
      <c r="AI512" s="1390"/>
      <c r="AJ512" s="1390"/>
      <c r="AK512" s="1390"/>
      <c r="AL512" s="258" t="s">
        <v>854</v>
      </c>
      <c r="AM512" s="83"/>
    </row>
    <row r="513" spans="2:39" ht="14.1" customHeight="1" x14ac:dyDescent="0.25">
      <c r="B513" s="1399"/>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390"/>
      <c r="AH513" s="1390"/>
      <c r="AI513" s="1390"/>
      <c r="AJ513" s="1390"/>
      <c r="AK513" s="1390"/>
      <c r="AL513" s="258" t="s">
        <v>854</v>
      </c>
      <c r="AM513" s="83"/>
    </row>
    <row r="514" spans="2:39" ht="14.1" customHeight="1" x14ac:dyDescent="0.25">
      <c r="B514" s="1399"/>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390"/>
      <c r="AH514" s="1390"/>
      <c r="AI514" s="1390"/>
      <c r="AJ514" s="1390"/>
      <c r="AK514" s="1390"/>
      <c r="AL514" s="258" t="s">
        <v>854</v>
      </c>
      <c r="AM514" s="83"/>
    </row>
    <row r="515" spans="2:39" ht="14.1" customHeight="1" x14ac:dyDescent="0.25">
      <c r="B515" s="1399"/>
      <c r="C515" s="148">
        <v>5</v>
      </c>
      <c r="D515" s="154" t="s">
        <v>469</v>
      </c>
      <c r="E515" s="136"/>
      <c r="AE515" s="153">
        <v>5</v>
      </c>
      <c r="AG515" s="1390"/>
      <c r="AH515" s="1390"/>
      <c r="AI515" s="1390"/>
      <c r="AJ515" s="1390"/>
      <c r="AK515" s="1390"/>
      <c r="AL515" s="258" t="s">
        <v>854</v>
      </c>
      <c r="AM515" s="83"/>
    </row>
    <row r="516" spans="2:39" ht="14.1" customHeight="1" x14ac:dyDescent="0.25">
      <c r="B516" s="1402"/>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390"/>
      <c r="AH516" s="1390"/>
      <c r="AI516" s="1390"/>
      <c r="AJ516" s="1390"/>
      <c r="AK516" s="1390"/>
      <c r="AL516" s="258" t="s">
        <v>854</v>
      </c>
      <c r="AM516" s="83"/>
    </row>
  </sheetData>
  <mergeCells count="87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28:AG28"/>
    <mergeCell ref="AE29:AG29"/>
    <mergeCell ref="AE26:AG26"/>
    <mergeCell ref="AE27:AG27"/>
    <mergeCell ref="O21:Q21"/>
    <mergeCell ref="O22:Q22"/>
    <mergeCell ref="O23:Q23"/>
    <mergeCell ref="O25:Q25"/>
    <mergeCell ref="O26:Q26"/>
    <mergeCell ref="O27:Q27"/>
    <mergeCell ref="O28:Q28"/>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B410:B430"/>
    <mergeCell ref="C411:C424"/>
    <mergeCell ref="C426:C429"/>
    <mergeCell ref="B434:B451"/>
    <mergeCell ref="C435:C436"/>
    <mergeCell ref="D443:Q443"/>
    <mergeCell ref="D444:Q444"/>
    <mergeCell ref="D445:Q445"/>
    <mergeCell ref="D437:Q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s>
  <phoneticPr fontId="57"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83"/>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3" width="9.109375" style="416"/>
    <col min="14" max="14" width="6.5546875" style="416" customWidth="1"/>
    <col min="15" max="16384" width="9.109375" style="416"/>
  </cols>
  <sheetData>
    <row r="1" spans="1:14" s="413" customFormat="1" ht="18.75" customHeight="1" x14ac:dyDescent="0.25">
      <c r="A1" s="1333" t="s">
        <v>1083</v>
      </c>
      <c r="B1" s="1334"/>
      <c r="C1" s="1334"/>
      <c r="D1" s="1334"/>
      <c r="E1" s="1334"/>
      <c r="F1" s="1334"/>
      <c r="G1" s="1334"/>
      <c r="H1" s="1334"/>
      <c r="I1" s="1334"/>
      <c r="J1" s="1335"/>
      <c r="K1" s="412"/>
      <c r="L1" s="412"/>
    </row>
    <row r="2" spans="1:14" ht="18" customHeight="1" thickBot="1" x14ac:dyDescent="0.3">
      <c r="A2" s="1336" t="s">
        <v>562</v>
      </c>
      <c r="B2" s="1337"/>
      <c r="C2" s="1337"/>
      <c r="D2" s="1337"/>
      <c r="E2" s="1337"/>
      <c r="F2" s="1337"/>
      <c r="G2" s="1337"/>
      <c r="H2" s="1337"/>
      <c r="I2" s="1337"/>
      <c r="J2" s="1338"/>
      <c r="K2" s="415"/>
      <c r="L2" s="415"/>
    </row>
    <row r="3" spans="1:14" ht="20.100000000000001" customHeight="1" x14ac:dyDescent="0.25">
      <c r="A3" s="417"/>
      <c r="B3" s="418" t="s">
        <v>994</v>
      </c>
      <c r="C3" s="419"/>
      <c r="D3" s="419"/>
      <c r="E3" s="419"/>
      <c r="F3" s="419"/>
      <c r="G3" s="419"/>
      <c r="H3" s="501" t="s">
        <v>1013</v>
      </c>
      <c r="I3" s="535"/>
      <c r="J3" s="470"/>
      <c r="K3" s="415"/>
      <c r="L3" s="415"/>
    </row>
    <row r="4" spans="1:14" ht="15" customHeight="1" x14ac:dyDescent="0.25">
      <c r="A4" s="420"/>
      <c r="B4" s="421"/>
      <c r="C4" s="422" t="s">
        <v>1082</v>
      </c>
      <c r="D4" s="422"/>
      <c r="E4" s="415"/>
      <c r="F4" s="423"/>
      <c r="G4" s="411">
        <v>960000</v>
      </c>
      <c r="H4" s="482"/>
      <c r="I4" s="536"/>
      <c r="J4" s="471"/>
      <c r="K4" s="415"/>
      <c r="L4" s="415"/>
    </row>
    <row r="5" spans="1:14" ht="15" customHeight="1" x14ac:dyDescent="0.25">
      <c r="A5" s="420"/>
      <c r="B5" s="415"/>
      <c r="C5" s="408" t="s">
        <v>848</v>
      </c>
      <c r="D5" s="415"/>
      <c r="E5" s="415"/>
      <c r="F5" s="415"/>
      <c r="G5" s="425">
        <v>19200</v>
      </c>
      <c r="H5" s="482">
        <f>G4-G5</f>
        <v>940800</v>
      </c>
      <c r="I5" s="537">
        <f>IF(H5&lt;&gt;0,0,"NIL")</f>
        <v>0</v>
      </c>
      <c r="J5" s="472"/>
      <c r="K5" s="415" t="s">
        <v>1133</v>
      </c>
      <c r="L5" s="415">
        <v>960000</v>
      </c>
    </row>
    <row r="6" spans="1:14" ht="15" customHeight="1" x14ac:dyDescent="0.25">
      <c r="A6" s="420"/>
      <c r="B6" s="426" t="s">
        <v>995</v>
      </c>
      <c r="C6" s="415"/>
      <c r="D6" s="415"/>
      <c r="E6" s="525" t="s">
        <v>1014</v>
      </c>
      <c r="F6" s="423"/>
      <c r="G6" s="415"/>
      <c r="H6" s="482"/>
      <c r="I6" s="537"/>
      <c r="J6" s="472"/>
      <c r="K6" s="415" t="s">
        <v>46</v>
      </c>
      <c r="L6" s="415">
        <v>240000</v>
      </c>
    </row>
    <row r="7" spans="1:14" ht="15" customHeight="1" x14ac:dyDescent="0.25">
      <c r="A7" s="420"/>
      <c r="B7" s="415"/>
      <c r="C7" s="583" t="s">
        <v>1127</v>
      </c>
      <c r="D7" s="422"/>
      <c r="E7" s="427"/>
      <c r="F7" s="428"/>
      <c r="G7" s="411">
        <v>240000</v>
      </c>
      <c r="H7" s="482"/>
      <c r="I7" s="537"/>
      <c r="J7" s="472"/>
      <c r="K7" s="415" t="s">
        <v>1134</v>
      </c>
      <c r="L7" s="415">
        <v>312000</v>
      </c>
      <c r="M7" s="415"/>
    </row>
    <row r="8" spans="1:14" ht="15" customHeight="1" x14ac:dyDescent="0.25">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x14ac:dyDescent="0.25">
      <c r="A9" s="420"/>
      <c r="B9" s="415"/>
      <c r="C9" s="408"/>
      <c r="D9" s="415"/>
      <c r="E9" s="415"/>
      <c r="F9" s="415"/>
      <c r="G9" s="423">
        <f>IF((G7-G8)&lt;0,0,(G7-G8))</f>
        <v>220000</v>
      </c>
      <c r="H9" s="482"/>
      <c r="I9" s="537"/>
      <c r="J9" s="472"/>
      <c r="K9" s="415"/>
      <c r="L9" s="415"/>
    </row>
    <row r="10" spans="1:14" ht="15" customHeight="1" x14ac:dyDescent="0.25">
      <c r="A10" s="420"/>
      <c r="B10" s="415"/>
      <c r="C10" s="590" t="s">
        <v>514</v>
      </c>
      <c r="D10" s="415"/>
      <c r="E10" s="415" t="s">
        <v>1093</v>
      </c>
      <c r="F10" s="415">
        <f>G9*0.3</f>
        <v>66000</v>
      </c>
      <c r="G10" s="423"/>
      <c r="H10" s="482"/>
      <c r="I10" s="537"/>
      <c r="J10" s="472"/>
      <c r="K10" s="415"/>
      <c r="L10" s="415"/>
    </row>
    <row r="11" spans="1:14" ht="15" customHeight="1" x14ac:dyDescent="0.25">
      <c r="A11" s="420"/>
      <c r="B11" s="415"/>
      <c r="D11" s="415"/>
      <c r="E11" s="409" t="s">
        <v>1094</v>
      </c>
      <c r="F11" s="591">
        <v>210000</v>
      </c>
      <c r="G11" s="592">
        <f>F10+F11</f>
        <v>276000</v>
      </c>
      <c r="H11" s="482">
        <f>G9-G11</f>
        <v>-56000</v>
      </c>
      <c r="I11" s="537">
        <f>IF(H11&lt;&gt;0,0,"NIL")</f>
        <v>0</v>
      </c>
      <c r="J11" s="472"/>
      <c r="K11" s="415"/>
      <c r="L11" s="415"/>
    </row>
    <row r="12" spans="1:14" ht="17.25" hidden="1" customHeight="1" x14ac:dyDescent="0.25">
      <c r="A12" s="420"/>
      <c r="B12" s="421" t="s">
        <v>996</v>
      </c>
      <c r="C12" s="408"/>
      <c r="D12" s="415"/>
      <c r="E12" s="429"/>
      <c r="F12" s="423"/>
      <c r="G12" s="415"/>
      <c r="H12" s="482"/>
      <c r="I12" s="537"/>
      <c r="J12" s="472"/>
      <c r="K12" s="415"/>
      <c r="L12" s="415"/>
    </row>
    <row r="13" spans="1:14" ht="15" hidden="1" customHeight="1" x14ac:dyDescent="0.25">
      <c r="A13" s="420"/>
      <c r="B13" s="415"/>
      <c r="C13" s="408" t="s">
        <v>991</v>
      </c>
      <c r="D13" s="415"/>
      <c r="E13" s="429"/>
      <c r="F13" s="423"/>
      <c r="G13" s="411"/>
      <c r="H13" s="482"/>
      <c r="I13" s="537"/>
      <c r="J13" s="472"/>
      <c r="K13" s="415"/>
      <c r="L13" s="415"/>
    </row>
    <row r="14" spans="1:14" ht="15" hidden="1" customHeight="1" x14ac:dyDescent="0.25">
      <c r="A14" s="420"/>
      <c r="B14" s="415"/>
      <c r="C14" s="408" t="s">
        <v>992</v>
      </c>
      <c r="D14" s="415"/>
      <c r="E14" s="429"/>
      <c r="F14" s="423"/>
      <c r="G14" s="479"/>
      <c r="H14" s="483">
        <f>G13-G14</f>
        <v>0</v>
      </c>
      <c r="I14" s="537" t="str">
        <f>IF(H14&lt;&gt;0,0,"NIL")</f>
        <v>NIL</v>
      </c>
      <c r="J14" s="472"/>
      <c r="K14" s="415"/>
      <c r="L14" s="415"/>
    </row>
    <row r="15" spans="1:14" ht="15" customHeight="1" x14ac:dyDescent="0.25">
      <c r="A15" s="420"/>
      <c r="B15" s="421" t="s">
        <v>997</v>
      </c>
      <c r="C15" s="415"/>
      <c r="D15" s="415"/>
      <c r="E15" s="415"/>
      <c r="F15" s="415"/>
      <c r="G15" s="415"/>
      <c r="H15" s="482"/>
      <c r="I15" s="537"/>
      <c r="J15" s="472"/>
      <c r="K15" s="415"/>
      <c r="L15" s="415"/>
    </row>
    <row r="16" spans="1:14" x14ac:dyDescent="0.25">
      <c r="A16" s="420"/>
      <c r="B16" s="415"/>
      <c r="C16" s="408" t="s">
        <v>498</v>
      </c>
      <c r="D16" s="415"/>
      <c r="E16" s="415"/>
      <c r="F16" s="415"/>
      <c r="G16" s="411"/>
      <c r="H16" s="482"/>
      <c r="I16" s="537"/>
      <c r="J16" s="472"/>
      <c r="K16" s="415"/>
      <c r="L16" s="415"/>
    </row>
    <row r="17" spans="1:12" x14ac:dyDescent="0.25">
      <c r="A17" s="420"/>
      <c r="B17" s="415"/>
      <c r="C17" s="408" t="s">
        <v>77</v>
      </c>
      <c r="D17" s="415"/>
      <c r="E17" s="415"/>
      <c r="F17" s="415"/>
      <c r="G17" s="479"/>
      <c r="H17" s="482">
        <f>G16+G17</f>
        <v>0</v>
      </c>
      <c r="I17" s="537" t="str">
        <f>IF(H17&lt;&gt;0,0,"NIL")</f>
        <v>NIL</v>
      </c>
      <c r="J17" s="472"/>
      <c r="K17" s="415"/>
      <c r="L17" s="415"/>
    </row>
    <row r="18" spans="1:12" ht="20.100000000000001" customHeight="1" x14ac:dyDescent="0.25">
      <c r="A18" s="420"/>
      <c r="B18" s="421" t="s">
        <v>998</v>
      </c>
      <c r="C18" s="415"/>
      <c r="D18" s="415"/>
      <c r="E18" s="415"/>
      <c r="F18" s="415"/>
      <c r="G18" s="415"/>
      <c r="H18" s="482"/>
      <c r="I18" s="536"/>
      <c r="J18" s="471"/>
      <c r="K18" s="415"/>
      <c r="L18" s="415"/>
    </row>
    <row r="19" spans="1:12" x14ac:dyDescent="0.25">
      <c r="A19" s="420"/>
      <c r="B19" s="636">
        <v>1050000</v>
      </c>
      <c r="C19" s="431" t="s">
        <v>1132</v>
      </c>
      <c r="D19" s="431"/>
      <c r="E19" s="431"/>
      <c r="F19" s="415"/>
      <c r="G19" s="411">
        <v>42000</v>
      </c>
      <c r="H19" s="482"/>
      <c r="I19" s="536"/>
      <c r="J19" s="471"/>
      <c r="K19" s="415"/>
      <c r="L19" s="415"/>
    </row>
    <row r="20" spans="1:12" x14ac:dyDescent="0.25">
      <c r="A20" s="420"/>
      <c r="B20" s="636">
        <v>1800000</v>
      </c>
      <c r="C20" s="431" t="s">
        <v>1131</v>
      </c>
      <c r="D20" s="431"/>
      <c r="E20" s="431"/>
      <c r="F20" s="408"/>
      <c r="G20" s="411">
        <v>150000</v>
      </c>
      <c r="H20" s="482"/>
      <c r="I20" s="536"/>
      <c r="J20" s="471"/>
      <c r="K20" s="415"/>
      <c r="L20" s="415"/>
    </row>
    <row r="21" spans="1:12" x14ac:dyDescent="0.25">
      <c r="A21" s="420"/>
      <c r="B21" s="589"/>
      <c r="C21" s="431" t="s">
        <v>1125</v>
      </c>
      <c r="D21" s="431"/>
      <c r="E21" s="431"/>
      <c r="F21" s="431"/>
      <c r="G21" s="462">
        <v>120000</v>
      </c>
      <c r="H21" s="482"/>
      <c r="I21" s="536"/>
      <c r="J21" s="471"/>
      <c r="K21" s="415"/>
      <c r="L21" s="415"/>
    </row>
    <row r="22" spans="1:12" ht="15" customHeight="1" x14ac:dyDescent="0.3">
      <c r="A22" s="420"/>
      <c r="B22" s="589"/>
      <c r="C22" s="431"/>
      <c r="D22" s="434"/>
      <c r="E22" s="433"/>
      <c r="F22" s="433"/>
      <c r="G22" s="480">
        <f>SUM(G19:G21)</f>
        <v>312000</v>
      </c>
      <c r="H22" s="482"/>
      <c r="I22" s="536"/>
      <c r="J22" s="471"/>
      <c r="K22" s="415"/>
      <c r="L22" s="415"/>
    </row>
    <row r="23" spans="1:12" ht="15" hidden="1" customHeight="1" x14ac:dyDescent="0.25">
      <c r="A23" s="420"/>
      <c r="B23" s="589"/>
      <c r="C23" s="435" t="s">
        <v>512</v>
      </c>
      <c r="D23" s="436"/>
      <c r="E23" s="436"/>
      <c r="F23" s="436"/>
      <c r="G23" s="437"/>
      <c r="H23" s="482"/>
      <c r="I23" s="536"/>
      <c r="J23" s="471"/>
      <c r="K23" s="415"/>
      <c r="L23" s="415"/>
    </row>
    <row r="24" spans="1:12" ht="15" hidden="1" customHeight="1" x14ac:dyDescent="0.25">
      <c r="A24" s="420"/>
      <c r="B24" s="589"/>
      <c r="G24" s="410"/>
      <c r="H24" s="482"/>
      <c r="I24" s="536"/>
      <c r="J24" s="471"/>
      <c r="K24" s="415"/>
      <c r="L24" s="415"/>
    </row>
    <row r="25" spans="1:12" ht="15" hidden="1" customHeight="1" x14ac:dyDescent="0.25">
      <c r="A25" s="420"/>
      <c r="B25" s="589"/>
      <c r="G25" s="410"/>
      <c r="H25" s="482"/>
      <c r="I25" s="536"/>
      <c r="J25" s="471"/>
      <c r="K25" s="415"/>
      <c r="L25" s="415"/>
    </row>
    <row r="26" spans="1:12" ht="15" hidden="1" customHeight="1" x14ac:dyDescent="0.25">
      <c r="A26" s="420"/>
      <c r="B26" s="589"/>
      <c r="C26" s="436" t="s">
        <v>846</v>
      </c>
      <c r="D26" s="436"/>
      <c r="E26" s="415"/>
      <c r="F26" s="438"/>
      <c r="G26" s="437"/>
      <c r="H26" s="482"/>
      <c r="I26" s="536"/>
      <c r="J26" s="471"/>
      <c r="K26" s="415"/>
      <c r="L26" s="415"/>
    </row>
    <row r="27" spans="1:12" ht="15" hidden="1" customHeight="1" x14ac:dyDescent="0.25">
      <c r="A27" s="420"/>
      <c r="B27" s="589"/>
      <c r="C27" s="432" t="s">
        <v>847</v>
      </c>
      <c r="D27" s="415"/>
      <c r="E27" s="415"/>
      <c r="F27" s="461">
        <f>ROUND(IF(F26/3&gt;15000,15000,F26/3),0)</f>
        <v>0</v>
      </c>
      <c r="G27" s="447">
        <f>F26-F27</f>
        <v>0</v>
      </c>
      <c r="H27" s="482"/>
      <c r="I27" s="536"/>
      <c r="J27" s="471"/>
      <c r="K27" s="415"/>
      <c r="L27" s="415"/>
    </row>
    <row r="28" spans="1:12" ht="15" hidden="1" customHeight="1" x14ac:dyDescent="0.25">
      <c r="A28" s="420"/>
      <c r="B28" s="589"/>
      <c r="C28" s="415"/>
      <c r="D28" s="415"/>
      <c r="E28" s="415"/>
      <c r="F28" s="415"/>
      <c r="G28" s="480">
        <f>SUM(G24:G27)</f>
        <v>0</v>
      </c>
      <c r="H28" s="484"/>
      <c r="J28" s="472"/>
      <c r="K28" s="415"/>
      <c r="L28" s="415"/>
    </row>
    <row r="29" spans="1:12" ht="15" customHeight="1" x14ac:dyDescent="0.25">
      <c r="A29" s="420"/>
      <c r="B29" s="589"/>
      <c r="C29" s="415"/>
      <c r="D29" s="415"/>
      <c r="E29" s="415"/>
      <c r="F29" s="415"/>
      <c r="G29" s="437"/>
      <c r="H29" s="482">
        <f>G22+G28</f>
        <v>312000</v>
      </c>
      <c r="I29" s="537">
        <f>IF(H29&lt;&gt;0,0,"NIL")</f>
        <v>0</v>
      </c>
      <c r="J29" s="472"/>
      <c r="K29" s="415"/>
      <c r="L29" s="415"/>
    </row>
    <row r="30" spans="1:12" ht="15" hidden="1" customHeight="1" x14ac:dyDescent="0.3">
      <c r="A30" s="420"/>
      <c r="B30" s="589"/>
      <c r="C30" s="439" t="s">
        <v>564</v>
      </c>
      <c r="D30" s="436"/>
      <c r="E30" s="436"/>
      <c r="F30" s="440"/>
      <c r="G30" s="437"/>
      <c r="H30" s="484"/>
      <c r="J30" s="472"/>
      <c r="K30" s="415"/>
      <c r="L30" s="415"/>
    </row>
    <row r="31" spans="1:12" ht="12.75" hidden="1" customHeight="1" x14ac:dyDescent="0.25">
      <c r="A31" s="420"/>
      <c r="B31" s="421"/>
      <c r="C31" s="409" t="s">
        <v>851</v>
      </c>
      <c r="D31" s="436"/>
      <c r="E31" s="441"/>
      <c r="F31" s="442"/>
      <c r="G31" s="430"/>
      <c r="H31" s="482"/>
      <c r="I31" s="536"/>
      <c r="J31" s="471"/>
      <c r="K31" s="415"/>
      <c r="L31" s="415"/>
    </row>
    <row r="32" spans="1:12" ht="12.75" hidden="1" customHeight="1" x14ac:dyDescent="0.25">
      <c r="A32" s="420"/>
      <c r="B32" s="421"/>
      <c r="C32" s="409" t="s">
        <v>981</v>
      </c>
      <c r="D32" s="436"/>
      <c r="E32" s="441"/>
      <c r="F32" s="442"/>
      <c r="G32" s="430"/>
      <c r="H32" s="482"/>
      <c r="I32" s="536"/>
      <c r="J32" s="471"/>
      <c r="K32" s="415"/>
      <c r="L32" s="415"/>
    </row>
    <row r="33" spans="1:12" ht="12.75" hidden="1" customHeight="1" x14ac:dyDescent="0.25">
      <c r="A33" s="420"/>
      <c r="B33" s="421"/>
      <c r="C33" s="409" t="s">
        <v>982</v>
      </c>
      <c r="D33" s="436"/>
      <c r="E33" s="441"/>
      <c r="F33" s="442"/>
      <c r="G33" s="430"/>
      <c r="H33" s="482"/>
      <c r="I33" s="536"/>
      <c r="J33" s="471"/>
      <c r="K33" s="415"/>
      <c r="L33" s="415"/>
    </row>
    <row r="34" spans="1:12" ht="12.75" hidden="1" customHeight="1" x14ac:dyDescent="0.25">
      <c r="A34" s="420"/>
      <c r="B34" s="421"/>
      <c r="C34" s="409" t="s">
        <v>983</v>
      </c>
      <c r="D34" s="436"/>
      <c r="E34" s="415"/>
      <c r="F34" s="442"/>
      <c r="G34" s="430"/>
      <c r="H34" s="482"/>
      <c r="I34" s="536"/>
      <c r="J34" s="471"/>
      <c r="K34" s="415"/>
      <c r="L34" s="415"/>
    </row>
    <row r="35" spans="1:12" ht="12.75" hidden="1" customHeight="1" thickBot="1" x14ac:dyDescent="0.3">
      <c r="A35" s="420"/>
      <c r="B35" s="428"/>
      <c r="C35" s="435"/>
      <c r="D35" s="436"/>
      <c r="E35" s="415"/>
      <c r="F35" s="443">
        <f>SUM(F31:F34)</f>
        <v>0</v>
      </c>
      <c r="G35" s="437"/>
      <c r="H35" s="484"/>
      <c r="J35" s="471"/>
      <c r="K35" s="415"/>
      <c r="L35" s="415"/>
    </row>
    <row r="36" spans="1:12" ht="12.75" customHeight="1" x14ac:dyDescent="0.25">
      <c r="A36" s="420"/>
      <c r="B36" s="428"/>
      <c r="C36" s="435"/>
      <c r="D36" s="436"/>
      <c r="E36" s="415"/>
      <c r="F36" s="444"/>
      <c r="G36" s="437"/>
      <c r="H36" s="484"/>
      <c r="I36" s="538"/>
      <c r="J36" s="534"/>
      <c r="K36" s="415"/>
      <c r="L36" s="415"/>
    </row>
    <row r="37" spans="1:12" ht="15" customHeight="1" x14ac:dyDescent="0.25">
      <c r="A37" s="420"/>
      <c r="B37" s="421" t="s">
        <v>501</v>
      </c>
      <c r="C37" s="415"/>
      <c r="D37" s="415"/>
      <c r="E37" s="428"/>
      <c r="F37" s="428"/>
      <c r="G37" s="424"/>
      <c r="H37" s="485">
        <f>SUM(H5:H35)</f>
        <v>1196800</v>
      </c>
      <c r="I37" s="537">
        <f>IF(H37&lt;&gt;0,0,"NIL")</f>
        <v>0</v>
      </c>
      <c r="J37" s="472"/>
      <c r="K37" s="415"/>
      <c r="L37" s="415"/>
    </row>
    <row r="38" spans="1:12" ht="15" customHeight="1" x14ac:dyDescent="0.25">
      <c r="A38" s="420"/>
      <c r="B38" s="445" t="s">
        <v>999</v>
      </c>
      <c r="C38" s="415"/>
      <c r="D38" s="415"/>
      <c r="E38" s="415"/>
      <c r="F38" s="415"/>
      <c r="G38" s="415"/>
      <c r="H38" s="482"/>
      <c r="I38" s="536"/>
      <c r="J38" s="471"/>
      <c r="K38" s="415"/>
      <c r="L38" s="415"/>
    </row>
    <row r="39" spans="1:12" ht="12.75" customHeight="1" x14ac:dyDescent="0.25">
      <c r="A39" s="420"/>
      <c r="B39" s="446"/>
      <c r="C39" s="435" t="s">
        <v>1080</v>
      </c>
      <c r="D39" s="415"/>
      <c r="E39" s="415"/>
      <c r="F39" s="415"/>
      <c r="G39" s="423"/>
      <c r="H39" s="482"/>
      <c r="I39" s="536"/>
      <c r="J39" s="471"/>
      <c r="K39" s="415"/>
      <c r="L39" s="415"/>
    </row>
    <row r="40" spans="1:12" ht="12.75" hidden="1" customHeight="1" x14ac:dyDescent="0.25">
      <c r="A40" s="420"/>
      <c r="B40" s="446"/>
      <c r="C40" s="431" t="s">
        <v>510</v>
      </c>
      <c r="D40" s="415"/>
      <c r="E40" s="415"/>
      <c r="F40" s="411"/>
      <c r="G40" s="423"/>
      <c r="H40" s="482"/>
      <c r="I40" s="536"/>
      <c r="J40" s="471"/>
      <c r="K40" s="415"/>
      <c r="L40" s="415"/>
    </row>
    <row r="41" spans="1:12" ht="12.75" hidden="1" customHeight="1" x14ac:dyDescent="0.25">
      <c r="A41" s="420"/>
      <c r="B41" s="446"/>
      <c r="C41" s="431" t="s">
        <v>1081</v>
      </c>
      <c r="D41" s="415"/>
      <c r="E41" s="415"/>
      <c r="F41" s="411"/>
      <c r="G41" s="423"/>
      <c r="H41" s="482"/>
      <c r="I41" s="536"/>
      <c r="J41" s="471"/>
      <c r="K41" s="415"/>
      <c r="L41" s="415"/>
    </row>
    <row r="42" spans="1:12" ht="12.75" hidden="1" customHeight="1" x14ac:dyDescent="0.25">
      <c r="A42" s="420"/>
      <c r="B42" s="446"/>
      <c r="C42" s="431" t="s">
        <v>985</v>
      </c>
      <c r="D42" s="415"/>
      <c r="E42" s="415"/>
      <c r="F42" s="411"/>
      <c r="G42" s="423"/>
      <c r="H42" s="482"/>
      <c r="I42" s="536"/>
      <c r="J42" s="471"/>
      <c r="K42" s="415"/>
      <c r="L42" s="415"/>
    </row>
    <row r="43" spans="1:12" ht="12.75" hidden="1" customHeight="1" x14ac:dyDescent="0.25">
      <c r="A43" s="420"/>
      <c r="B43" s="446"/>
      <c r="C43" s="431" t="s">
        <v>984</v>
      </c>
      <c r="D43" s="415"/>
      <c r="E43" s="415"/>
      <c r="F43" s="411"/>
      <c r="G43" s="423"/>
      <c r="H43" s="482"/>
      <c r="I43" s="536"/>
      <c r="J43" s="471"/>
      <c r="K43" s="415"/>
      <c r="L43" s="415"/>
    </row>
    <row r="44" spans="1:12" ht="12.75" customHeight="1" x14ac:dyDescent="0.25">
      <c r="A44" s="420"/>
      <c r="B44" s="446"/>
      <c r="C44" s="431" t="s">
        <v>572</v>
      </c>
      <c r="D44" s="415"/>
      <c r="E44" s="415"/>
      <c r="F44" s="411">
        <v>10000</v>
      </c>
      <c r="G44" s="423"/>
      <c r="H44" s="482"/>
      <c r="I44" s="536"/>
      <c r="J44" s="471"/>
      <c r="K44" s="415"/>
      <c r="L44" s="415"/>
    </row>
    <row r="45" spans="1:12" ht="12.75" customHeight="1" x14ac:dyDescent="0.25">
      <c r="A45" s="420"/>
      <c r="B45" s="446"/>
      <c r="C45" s="431" t="s">
        <v>509</v>
      </c>
      <c r="D45" s="415"/>
      <c r="E45" s="415"/>
      <c r="F45" s="411">
        <v>90000</v>
      </c>
      <c r="G45" s="423"/>
      <c r="H45" s="482"/>
      <c r="I45" s="536"/>
      <c r="J45" s="471"/>
      <c r="K45" s="415"/>
      <c r="L45" s="415"/>
    </row>
    <row r="46" spans="1:12" ht="12.75" hidden="1" customHeight="1" x14ac:dyDescent="0.25">
      <c r="A46" s="420"/>
      <c r="B46" s="446"/>
      <c r="C46" s="431" t="s">
        <v>986</v>
      </c>
      <c r="D46" s="415"/>
      <c r="E46" s="415"/>
      <c r="F46" s="411"/>
      <c r="G46" s="423"/>
      <c r="H46" s="482"/>
      <c r="I46" s="536"/>
      <c r="J46" s="471"/>
      <c r="K46" s="415"/>
      <c r="L46" s="415"/>
    </row>
    <row r="47" spans="1:12" ht="12.75" hidden="1" customHeight="1" x14ac:dyDescent="0.25">
      <c r="A47" s="420"/>
      <c r="B47" s="446"/>
      <c r="C47" s="431" t="s">
        <v>987</v>
      </c>
      <c r="D47" s="415"/>
      <c r="E47" s="415"/>
      <c r="F47" s="411"/>
      <c r="G47" s="423"/>
      <c r="H47" s="482"/>
      <c r="I47" s="536"/>
      <c r="J47" s="471"/>
      <c r="K47" s="415"/>
      <c r="L47" s="415"/>
    </row>
    <row r="48" spans="1:12" ht="12.75" hidden="1" customHeight="1" x14ac:dyDescent="0.25">
      <c r="A48" s="420"/>
      <c r="B48" s="446"/>
      <c r="C48" s="431" t="s">
        <v>988</v>
      </c>
      <c r="D48" s="415"/>
      <c r="E48" s="415"/>
      <c r="F48" s="411"/>
      <c r="G48" s="423"/>
      <c r="H48" s="482"/>
      <c r="I48" s="536"/>
      <c r="J48" s="471"/>
      <c r="K48" s="415"/>
      <c r="L48" s="415"/>
    </row>
    <row r="49" spans="1:12" ht="12.75" hidden="1" customHeight="1" x14ac:dyDescent="0.25">
      <c r="A49" s="420"/>
      <c r="B49" s="446"/>
      <c r="C49" s="431" t="s">
        <v>989</v>
      </c>
      <c r="D49" s="415"/>
      <c r="E49" s="415"/>
      <c r="F49" s="411"/>
      <c r="G49" s="423"/>
      <c r="H49" s="482"/>
      <c r="I49" s="536"/>
      <c r="J49" s="471"/>
      <c r="K49" s="415"/>
      <c r="L49" s="415"/>
    </row>
    <row r="50" spans="1:12" ht="12.75" customHeight="1" x14ac:dyDescent="0.25">
      <c r="A50" s="420"/>
      <c r="B50" s="446"/>
      <c r="C50" s="431" t="s">
        <v>990</v>
      </c>
      <c r="D50" s="415"/>
      <c r="E50" s="415"/>
      <c r="F50" s="411">
        <v>30000</v>
      </c>
      <c r="G50" s="423"/>
      <c r="H50" s="482"/>
      <c r="I50" s="536"/>
      <c r="J50" s="471"/>
      <c r="K50" s="415"/>
      <c r="L50" s="415"/>
    </row>
    <row r="51" spans="1:12" ht="15" customHeight="1" x14ac:dyDescent="0.25">
      <c r="A51" s="420"/>
      <c r="B51" s="446"/>
      <c r="C51" s="431"/>
      <c r="D51" s="415"/>
      <c r="E51" s="415"/>
      <c r="F51" s="448">
        <f>SUM(F40:F50)</f>
        <v>130000</v>
      </c>
      <c r="G51" s="415">
        <f>IF(F51&gt;150000,150000,F51)</f>
        <v>130000</v>
      </c>
      <c r="H51" s="482"/>
      <c r="I51" s="536"/>
      <c r="J51" s="471"/>
      <c r="K51" s="415"/>
      <c r="L51" s="415"/>
    </row>
    <row r="52" spans="1:12" ht="15" hidden="1" customHeight="1" x14ac:dyDescent="0.25">
      <c r="A52" s="420"/>
      <c r="B52" s="446"/>
      <c r="C52" s="449" t="s">
        <v>1079</v>
      </c>
      <c r="D52" s="415"/>
      <c r="E52" s="415"/>
      <c r="F52" s="450"/>
      <c r="G52" s="411"/>
      <c r="H52" s="482"/>
      <c r="I52" s="536"/>
      <c r="J52" s="471"/>
      <c r="K52" s="415"/>
      <c r="L52" s="415"/>
    </row>
    <row r="53" spans="1:12" ht="15" hidden="1" customHeight="1" x14ac:dyDescent="0.25">
      <c r="A53" s="420"/>
      <c r="B53" s="446"/>
      <c r="C53" s="449" t="s">
        <v>1078</v>
      </c>
      <c r="D53" s="415"/>
      <c r="E53" s="415"/>
      <c r="F53" s="450"/>
      <c r="G53" s="411"/>
      <c r="H53" s="482"/>
      <c r="I53" s="536"/>
      <c r="J53" s="471"/>
      <c r="K53" s="415"/>
      <c r="L53" s="415"/>
    </row>
    <row r="54" spans="1:12" ht="15" hidden="1" customHeight="1" x14ac:dyDescent="0.25">
      <c r="A54" s="420"/>
      <c r="B54" s="446"/>
      <c r="C54" s="449" t="s">
        <v>852</v>
      </c>
      <c r="D54" s="415"/>
      <c r="E54" s="415"/>
      <c r="F54" s="450"/>
      <c r="G54" s="411"/>
      <c r="H54" s="482"/>
      <c r="I54" s="536"/>
      <c r="J54" s="471"/>
      <c r="K54" s="415"/>
      <c r="L54" s="415"/>
    </row>
    <row r="55" spans="1:12" ht="14.25" hidden="1" customHeight="1" x14ac:dyDescent="0.25">
      <c r="A55" s="420"/>
      <c r="B55" s="446"/>
      <c r="C55" s="449" t="s">
        <v>611</v>
      </c>
      <c r="D55" s="415"/>
      <c r="E55" s="415"/>
      <c r="F55" s="415"/>
      <c r="G55" s="411"/>
      <c r="H55" s="482"/>
      <c r="I55" s="536"/>
      <c r="J55" s="471"/>
      <c r="K55" s="415"/>
      <c r="L55" s="415"/>
    </row>
    <row r="56" spans="1:12" x14ac:dyDescent="0.25">
      <c r="A56" s="420"/>
      <c r="B56" s="415"/>
      <c r="C56" s="449" t="s">
        <v>979</v>
      </c>
      <c r="D56" s="415"/>
      <c r="E56" s="428"/>
      <c r="F56" s="428"/>
      <c r="G56" s="447">
        <f>IF(G19&gt;10000, 10000, G19)</f>
        <v>10000</v>
      </c>
      <c r="H56" s="482"/>
      <c r="I56" s="536"/>
      <c r="J56" s="471"/>
      <c r="K56" s="415"/>
      <c r="L56" s="415"/>
    </row>
    <row r="57" spans="1:12" x14ac:dyDescent="0.25">
      <c r="A57" s="420"/>
      <c r="B57" s="415"/>
      <c r="C57" s="543" t="s">
        <v>853</v>
      </c>
      <c r="D57" s="415"/>
      <c r="E57" s="428"/>
      <c r="F57" s="428"/>
      <c r="G57" s="411"/>
      <c r="H57" s="482">
        <f>SUM(G51:G57)</f>
        <v>140000</v>
      </c>
      <c r="I57" s="537">
        <f>IF(H57&lt;&gt;0,0,"NIL")</f>
        <v>0</v>
      </c>
      <c r="J57" s="472"/>
      <c r="K57" s="415"/>
      <c r="L57" s="415"/>
    </row>
    <row r="58" spans="1:12" ht="15.75" customHeight="1" thickBot="1" x14ac:dyDescent="0.3">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x14ac:dyDescent="0.25">
      <c r="A59" s="420"/>
      <c r="B59" s="450" t="s">
        <v>778</v>
      </c>
      <c r="C59" s="415"/>
      <c r="D59" s="415"/>
      <c r="E59" s="444" t="s">
        <v>521</v>
      </c>
      <c r="F59" s="454" t="s">
        <v>522</v>
      </c>
      <c r="G59" s="444" t="s">
        <v>524</v>
      </c>
      <c r="H59" s="487"/>
      <c r="J59" s="471"/>
      <c r="K59" s="415"/>
      <c r="L59" s="415"/>
    </row>
    <row r="60" spans="1:12" ht="15" customHeight="1" x14ac:dyDescent="0.25">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x14ac:dyDescent="0.25">
      <c r="A61" s="420"/>
      <c r="B61" s="450"/>
      <c r="C61" s="408" t="s">
        <v>519</v>
      </c>
      <c r="D61" s="415"/>
      <c r="E61" s="410"/>
      <c r="F61" s="457">
        <v>0.15</v>
      </c>
      <c r="G61" s="523"/>
      <c r="H61" s="484"/>
      <c r="J61" s="471"/>
      <c r="K61" s="415"/>
      <c r="L61" s="415"/>
    </row>
    <row r="62" spans="1:12" ht="15" hidden="1" customHeight="1" x14ac:dyDescent="0.25">
      <c r="A62" s="420"/>
      <c r="B62" s="415"/>
      <c r="C62" s="415"/>
      <c r="D62" s="456"/>
      <c r="E62" s="428"/>
      <c r="F62" s="415"/>
      <c r="G62" s="526">
        <f>G60+G61</f>
        <v>142040</v>
      </c>
      <c r="H62" s="488"/>
      <c r="I62" s="537"/>
      <c r="J62" s="472"/>
      <c r="K62" s="415"/>
      <c r="L62" s="415"/>
    </row>
    <row r="63" spans="1:12" ht="15" customHeight="1" x14ac:dyDescent="0.25">
      <c r="A63" s="420"/>
      <c r="C63" s="524" t="s">
        <v>1015</v>
      </c>
      <c r="D63" s="456"/>
      <c r="E63" s="428"/>
      <c r="F63" s="415"/>
      <c r="G63" s="527">
        <f>IF(H58&gt;500000,0,IF(G62&gt;2000,2000,G62))</f>
        <v>0</v>
      </c>
      <c r="H63" s="489">
        <f>G62-G63</f>
        <v>142040</v>
      </c>
      <c r="I63" s="537">
        <f>IF(H63&lt;&gt;0,0,"NIL")</f>
        <v>0</v>
      </c>
      <c r="J63" s="472"/>
      <c r="K63" s="415"/>
      <c r="L63" s="415"/>
    </row>
    <row r="64" spans="1:12" ht="15" customHeight="1" x14ac:dyDescent="0.25">
      <c r="A64" s="420"/>
      <c r="B64" s="408" t="s">
        <v>774</v>
      </c>
      <c r="C64" s="415"/>
      <c r="D64" s="456"/>
      <c r="E64" s="428"/>
      <c r="F64" s="415"/>
      <c r="G64" s="428"/>
      <c r="H64" s="489">
        <f>ROUND((H63)*0.02,0)</f>
        <v>2841</v>
      </c>
      <c r="I64" s="537">
        <f>IF(H64&lt;&gt;0,0,"NIL")</f>
        <v>0</v>
      </c>
      <c r="J64" s="472"/>
      <c r="K64" s="415"/>
      <c r="L64" s="415"/>
    </row>
    <row r="65" spans="1:16" ht="15" customHeight="1" x14ac:dyDescent="0.25">
      <c r="A65" s="420"/>
      <c r="B65" s="408" t="s">
        <v>775</v>
      </c>
      <c r="C65" s="415"/>
      <c r="D65" s="456"/>
      <c r="E65" s="458"/>
      <c r="F65" s="415"/>
      <c r="G65" s="428"/>
      <c r="H65" s="528">
        <f>ROUND((H63)*0.01,0)</f>
        <v>1420</v>
      </c>
      <c r="I65" s="540">
        <f>IF(H65&lt;&gt;0,0,"NIL")</f>
        <v>0</v>
      </c>
      <c r="J65" s="474"/>
      <c r="K65" s="423"/>
      <c r="L65" s="423"/>
    </row>
    <row r="66" spans="1:16" ht="15" customHeight="1" x14ac:dyDescent="0.25">
      <c r="A66" s="420"/>
      <c r="B66" s="450" t="s">
        <v>565</v>
      </c>
      <c r="C66" s="415"/>
      <c r="D66" s="456"/>
      <c r="E66" s="458"/>
      <c r="F66" s="415"/>
      <c r="G66" s="428"/>
      <c r="H66" s="488">
        <f>SUM(H63:H65)</f>
        <v>146301</v>
      </c>
      <c r="I66" s="537"/>
      <c r="J66" s="472"/>
      <c r="K66" s="423"/>
      <c r="L66" s="423"/>
    </row>
    <row r="67" spans="1:16" ht="15" hidden="1" customHeight="1" x14ac:dyDescent="0.25">
      <c r="A67" s="420"/>
      <c r="B67" s="427"/>
      <c r="C67" s="428"/>
      <c r="D67" s="428"/>
      <c r="E67" s="428"/>
      <c r="F67" s="428"/>
      <c r="G67" s="428"/>
      <c r="H67" s="528"/>
      <c r="I67" s="540"/>
      <c r="J67" s="473"/>
      <c r="K67" s="423"/>
      <c r="L67" s="427"/>
    </row>
    <row r="68" spans="1:16" ht="15" hidden="1" customHeight="1" x14ac:dyDescent="0.25">
      <c r="A68" s="420"/>
      <c r="B68" s="450"/>
      <c r="C68" s="428"/>
      <c r="D68" s="428"/>
      <c r="E68" s="428"/>
      <c r="F68" s="428"/>
      <c r="G68" s="428"/>
      <c r="H68" s="491">
        <f>H66+H67</f>
        <v>146301</v>
      </c>
      <c r="I68" s="537"/>
      <c r="J68" s="472"/>
      <c r="K68" s="415"/>
      <c r="L68" s="415"/>
    </row>
    <row r="69" spans="1:16" ht="15" customHeight="1" x14ac:dyDescent="0.25">
      <c r="A69" s="420"/>
      <c r="B69" s="415" t="s">
        <v>523</v>
      </c>
      <c r="C69" s="428"/>
      <c r="D69" s="428"/>
      <c r="E69" s="428"/>
      <c r="F69" s="428"/>
      <c r="G69" s="428"/>
      <c r="H69" s="492">
        <f>IF(Data!E2&gt;19814, Intt!I1, IF(H14&gt;0, Intt!I1,0))</f>
        <v>0</v>
      </c>
      <c r="I69" s="540" t="str">
        <f>IF(H69&lt;&gt;0,0,"NIL")</f>
        <v>NIL</v>
      </c>
      <c r="J69" s="473"/>
      <c r="K69" s="415"/>
      <c r="L69" s="415"/>
    </row>
    <row r="70" spans="1:16" ht="15" customHeight="1" x14ac:dyDescent="0.25">
      <c r="A70" s="420"/>
      <c r="B70" s="450" t="s">
        <v>768</v>
      </c>
      <c r="C70" s="428"/>
      <c r="D70" s="428"/>
      <c r="E70" s="428"/>
      <c r="F70" s="428"/>
      <c r="G70" s="428"/>
      <c r="H70" s="490">
        <f>H68+H69</f>
        <v>146301</v>
      </c>
      <c r="I70" s="537">
        <f>IF(H70&lt;&gt;0,0,"NIL")</f>
        <v>0</v>
      </c>
      <c r="J70" s="472"/>
      <c r="K70" s="415">
        <v>0</v>
      </c>
      <c r="L70" s="415"/>
    </row>
    <row r="71" spans="1:16" ht="15" customHeight="1" x14ac:dyDescent="0.25">
      <c r="A71" s="420"/>
      <c r="B71" s="421" t="s">
        <v>571</v>
      </c>
      <c r="C71" s="428"/>
      <c r="D71" s="428"/>
      <c r="E71" s="428"/>
      <c r="F71" s="428"/>
      <c r="G71" s="428"/>
      <c r="H71" s="490"/>
      <c r="I71" s="537"/>
      <c r="J71" s="471"/>
      <c r="K71" s="415"/>
      <c r="L71" s="415"/>
    </row>
    <row r="72" spans="1:16" ht="15" customHeight="1" x14ac:dyDescent="0.3">
      <c r="A72" s="420"/>
      <c r="B72" s="415"/>
      <c r="C72" s="1340" t="s">
        <v>993</v>
      </c>
      <c r="D72" s="1340"/>
      <c r="E72" s="1340"/>
      <c r="F72" s="1340"/>
      <c r="G72" s="447">
        <f>+Intt!B11</f>
        <v>20000</v>
      </c>
      <c r="H72" s="482"/>
      <c r="I72" s="536"/>
      <c r="J72" s="472"/>
      <c r="K72" s="415"/>
      <c r="L72" s="415"/>
    </row>
    <row r="73" spans="1:16" ht="15" customHeight="1" x14ac:dyDescent="0.3">
      <c r="A73" s="420"/>
      <c r="B73" s="588">
        <f>SUM(G72:G75)</f>
        <v>148780</v>
      </c>
      <c r="C73" s="1340" t="s">
        <v>570</v>
      </c>
      <c r="D73" s="1340"/>
      <c r="E73" s="1340"/>
      <c r="F73" s="1340"/>
      <c r="G73" s="410">
        <v>89780</v>
      </c>
      <c r="H73" s="482"/>
      <c r="I73" s="536"/>
      <c r="J73" s="472"/>
      <c r="K73" s="415"/>
      <c r="L73" s="415"/>
    </row>
    <row r="74" spans="1:16" ht="12.75" customHeight="1" x14ac:dyDescent="0.3">
      <c r="A74" s="420"/>
      <c r="B74" s="459"/>
      <c r="C74" s="1340" t="s">
        <v>1124</v>
      </c>
      <c r="D74" s="1340"/>
      <c r="E74" s="1340"/>
      <c r="F74" s="1340"/>
      <c r="G74" s="410">
        <v>15000</v>
      </c>
      <c r="H74" s="482"/>
      <c r="I74" s="536"/>
      <c r="J74" s="472"/>
      <c r="K74" s="415"/>
      <c r="L74" s="415"/>
    </row>
    <row r="75" spans="1:16" ht="12.75" customHeight="1" x14ac:dyDescent="0.3">
      <c r="A75" s="420"/>
      <c r="B75" s="459"/>
      <c r="C75" s="1340" t="s">
        <v>1126</v>
      </c>
      <c r="D75" s="1340"/>
      <c r="E75" s="1340"/>
      <c r="F75" s="1340"/>
      <c r="G75" s="410">
        <v>24000</v>
      </c>
      <c r="H75" s="482"/>
      <c r="I75" s="536"/>
      <c r="J75" s="472"/>
      <c r="K75" s="415"/>
      <c r="L75" s="408"/>
    </row>
    <row r="76" spans="1:16" ht="12.75" customHeight="1" thickBot="1" x14ac:dyDescent="0.35">
      <c r="A76" s="414"/>
      <c r="B76" s="477"/>
      <c r="C76" s="1339" t="s">
        <v>850</v>
      </c>
      <c r="D76" s="1339"/>
      <c r="E76" s="1339"/>
      <c r="F76" s="1339"/>
      <c r="G76" s="481">
        <f>IF(H70-SUM(G72:G75)&gt;0,(H70-SUM(G72:G75)),0)</f>
        <v>0</v>
      </c>
      <c r="H76" s="493">
        <f>SUM(G72:G76)</f>
        <v>148780</v>
      </c>
      <c r="I76" s="541">
        <f>IF(H76&lt;&gt;0,0,"NIL")</f>
        <v>0</v>
      </c>
      <c r="J76" s="478"/>
      <c r="K76" s="415"/>
      <c r="L76" s="408"/>
    </row>
    <row r="77" spans="1:16" ht="18" customHeight="1" thickBot="1" x14ac:dyDescent="0.3">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x14ac:dyDescent="0.25">
      <c r="A78" s="567"/>
      <c r="B78" s="570"/>
      <c r="C78" s="570"/>
      <c r="D78" s="570"/>
      <c r="E78" s="570"/>
      <c r="F78" s="570"/>
      <c r="G78" s="570"/>
      <c r="H78" s="570"/>
      <c r="I78" s="568"/>
      <c r="J78" s="569"/>
      <c r="K78" s="415"/>
      <c r="L78" s="408"/>
      <c r="M78" s="554"/>
      <c r="N78" s="554"/>
      <c r="O78" s="554"/>
      <c r="P78" s="554"/>
    </row>
    <row r="79" spans="1:16" x14ac:dyDescent="0.25">
      <c r="A79" s="567"/>
      <c r="B79" s="554"/>
      <c r="C79" s="554"/>
      <c r="D79" s="554"/>
      <c r="E79" s="554"/>
      <c r="F79" s="554"/>
      <c r="G79" s="554"/>
      <c r="H79" s="554"/>
      <c r="I79" s="568"/>
      <c r="J79" s="569"/>
      <c r="K79" s="415"/>
      <c r="L79" s="408"/>
      <c r="M79" s="554"/>
      <c r="N79" s="554"/>
      <c r="O79" s="554"/>
      <c r="P79" s="554"/>
    </row>
    <row r="80" spans="1:16" x14ac:dyDescent="0.25">
      <c r="A80" s="567"/>
      <c r="B80" s="554"/>
      <c r="C80" s="554"/>
      <c r="D80" s="554"/>
      <c r="E80" s="554"/>
      <c r="F80" s="554"/>
      <c r="G80" s="554"/>
      <c r="H80" s="554"/>
      <c r="I80" s="568"/>
      <c r="J80" s="569"/>
      <c r="K80" s="415"/>
      <c r="L80" s="408"/>
      <c r="M80" s="554"/>
      <c r="N80" s="554"/>
      <c r="O80" s="554"/>
      <c r="P80" s="554"/>
    </row>
    <row r="81" spans="1:16" x14ac:dyDescent="0.25">
      <c r="A81" s="567"/>
      <c r="B81" s="554"/>
      <c r="C81" s="554"/>
      <c r="D81" s="554"/>
      <c r="E81" s="554"/>
      <c r="F81" s="554"/>
      <c r="G81" s="554"/>
      <c r="H81" s="554"/>
      <c r="I81" s="568"/>
      <c r="J81" s="569"/>
      <c r="K81" s="415"/>
      <c r="L81" s="408"/>
      <c r="M81" s="554"/>
      <c r="N81" s="554"/>
      <c r="O81" s="554"/>
      <c r="P81" s="554"/>
    </row>
    <row r="82" spans="1:16" x14ac:dyDescent="0.25">
      <c r="A82" s="567"/>
      <c r="B82" s="554"/>
      <c r="C82" s="554"/>
      <c r="D82" s="554"/>
      <c r="E82" s="554"/>
      <c r="F82" s="554"/>
      <c r="G82" s="554"/>
      <c r="H82" s="554"/>
      <c r="I82" s="568"/>
      <c r="J82" s="569"/>
      <c r="K82" s="415"/>
      <c r="L82" s="408"/>
      <c r="M82" s="554"/>
      <c r="N82" s="554"/>
      <c r="O82" s="554"/>
      <c r="P82" s="554"/>
    </row>
    <row r="83" spans="1:16" x14ac:dyDescent="0.25">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3" type="noConversion"/>
  <conditionalFormatting sqref="F61">
    <cfRule type="expression" dxfId="10" priority="1" stopIfTrue="1">
      <formula>"""$E$55=0"""</formula>
    </cfRule>
  </conditionalFormatting>
  <dataValidations count="2">
    <dataValidation type="list" errorStyle="information" allowBlank="1" showInputMessage="1" showErrorMessage="1" sqref="C42" xr:uid="{00000000-0002-0000-0300-000000000000}">
      <formula1>"ICICI PRUDENTIAL PREM, BAJAJ ALLIANZ LIFE INSURANCE PREM., LIC  PREMIUM, ULIP PREMIUM"</formula1>
    </dataValidation>
    <dataValidation type="list" errorStyle="information" allowBlank="1" showInputMessage="1" showErrorMessage="1" sqref="D4" xr:uid="{00000000-0002-0000-03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2"/>
  <sheetViews>
    <sheetView showZeros="0" topLeftCell="A49"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1165</v>
      </c>
      <c r="D4" s="422"/>
      <c r="E4" s="415"/>
      <c r="F4" s="423"/>
      <c r="G4" s="411">
        <v>4892000</v>
      </c>
      <c r="H4" s="482"/>
      <c r="I4" s="536"/>
      <c r="J4" s="471"/>
    </row>
    <row r="5" spans="1:10" ht="15" customHeight="1" x14ac:dyDescent="0.25">
      <c r="A5" s="420"/>
      <c r="B5" s="415"/>
      <c r="C5" s="408" t="s">
        <v>848</v>
      </c>
      <c r="D5" s="415"/>
      <c r="E5" s="415"/>
      <c r="F5" s="415"/>
      <c r="G5" s="425"/>
      <c r="H5" s="482">
        <f>G4-G5</f>
        <v>4892000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1164</v>
      </c>
      <c r="D7" s="422"/>
      <c r="E7" s="427"/>
      <c r="F7" s="428"/>
      <c r="G7" s="411"/>
      <c r="H7" s="482"/>
      <c r="I7" s="537"/>
      <c r="J7" s="472"/>
    </row>
    <row r="8" spans="1:10" ht="15" hidden="1" customHeight="1" x14ac:dyDescent="0.25">
      <c r="A8" s="420"/>
      <c r="B8" s="415"/>
      <c r="C8" s="408" t="s">
        <v>769</v>
      </c>
      <c r="D8" s="415"/>
      <c r="E8" s="415"/>
      <c r="F8" s="415"/>
      <c r="G8" s="479"/>
      <c r="H8" s="482"/>
      <c r="I8" s="537"/>
      <c r="J8" s="472"/>
    </row>
    <row r="9" spans="1:10" ht="15" hidden="1" customHeight="1" x14ac:dyDescent="0.25">
      <c r="A9" s="420"/>
      <c r="B9" s="415"/>
      <c r="C9" s="408"/>
      <c r="D9" s="415"/>
      <c r="E9" s="415"/>
      <c r="F9" s="415"/>
      <c r="G9" s="423">
        <f>IF((G7-G8)&lt;0,0,(G7-G8))</f>
        <v>0</v>
      </c>
      <c r="H9" s="482"/>
      <c r="I9" s="537"/>
      <c r="J9" s="472"/>
    </row>
    <row r="10" spans="1:10" ht="15" customHeight="1" x14ac:dyDescent="0.25">
      <c r="A10" s="420"/>
      <c r="B10" s="415"/>
      <c r="C10" s="590" t="s">
        <v>514</v>
      </c>
      <c r="D10" s="415"/>
      <c r="E10" s="415" t="s">
        <v>1093</v>
      </c>
      <c r="F10" s="415">
        <f t="shared" ref="F10:F15" si="0">G9*0.3</f>
        <v>0</v>
      </c>
      <c r="G10" s="423"/>
      <c r="H10" s="482"/>
      <c r="I10" s="537"/>
      <c r="J10" s="472"/>
    </row>
    <row r="11" spans="1:10" ht="15" customHeight="1" x14ac:dyDescent="0.25">
      <c r="A11" s="420"/>
      <c r="B11" s="415"/>
      <c r="D11" s="415"/>
      <c r="E11" s="415" t="s">
        <v>1094</v>
      </c>
      <c r="F11" s="415">
        <f t="shared" si="0"/>
        <v>0</v>
      </c>
      <c r="G11" s="592">
        <v>190000</v>
      </c>
      <c r="H11" s="482">
        <f>G9-G11</f>
        <v>-190000</v>
      </c>
      <c r="I11" s="537">
        <f>IF(H11&lt;&gt;0,0,"NIL")</f>
        <v>0</v>
      </c>
      <c r="J11" s="472"/>
    </row>
    <row r="12" spans="1:10" ht="17.25" hidden="1" customHeight="1" x14ac:dyDescent="0.25">
      <c r="A12" s="420"/>
      <c r="B12" s="421" t="s">
        <v>996</v>
      </c>
      <c r="C12" s="408"/>
      <c r="D12" s="415"/>
      <c r="E12" s="429"/>
      <c r="F12" s="415">
        <f t="shared" si="0"/>
        <v>57000</v>
      </c>
      <c r="G12" s="415"/>
      <c r="H12" s="482"/>
      <c r="I12" s="537"/>
      <c r="J12" s="472"/>
    </row>
    <row r="13" spans="1:10" ht="15" hidden="1" customHeight="1" x14ac:dyDescent="0.25">
      <c r="A13" s="420"/>
      <c r="B13" s="415"/>
      <c r="C13" s="408" t="s">
        <v>991</v>
      </c>
      <c r="D13" s="415"/>
      <c r="E13" s="429"/>
      <c r="F13" s="415">
        <f t="shared" si="0"/>
        <v>0</v>
      </c>
      <c r="G13" s="411"/>
      <c r="H13" s="482"/>
      <c r="I13" s="537"/>
      <c r="J13" s="472"/>
    </row>
    <row r="14" spans="1:10" ht="15" hidden="1" customHeight="1" x14ac:dyDescent="0.25">
      <c r="A14" s="420"/>
      <c r="B14" s="415"/>
      <c r="C14" s="408" t="s">
        <v>992</v>
      </c>
      <c r="D14" s="415"/>
      <c r="E14" s="429"/>
      <c r="F14" s="415">
        <f t="shared" si="0"/>
        <v>0</v>
      </c>
      <c r="G14" s="479"/>
      <c r="H14" s="483">
        <f>G13-G14</f>
        <v>0</v>
      </c>
      <c r="I14" s="537" t="str">
        <f>IF(H14&lt;&gt;0,0,"NIL")</f>
        <v>NIL</v>
      </c>
      <c r="J14" s="472"/>
    </row>
    <row r="15" spans="1:10" ht="15" customHeight="1" x14ac:dyDescent="0.25">
      <c r="A15" s="420"/>
      <c r="B15" s="421" t="s">
        <v>997</v>
      </c>
      <c r="C15" s="415"/>
      <c r="D15" s="415"/>
      <c r="E15" s="415"/>
      <c r="F15" s="415">
        <f t="shared" si="0"/>
        <v>0</v>
      </c>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1166</v>
      </c>
      <c r="D20" s="431"/>
      <c r="E20" s="431" t="s">
        <v>1167</v>
      </c>
      <c r="F20" s="408"/>
      <c r="G20" s="411">
        <v>1600000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1600000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1600000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6302000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509</v>
      </c>
      <c r="D44" s="415"/>
      <c r="E44" s="415"/>
      <c r="F44" s="411">
        <v>150000</v>
      </c>
      <c r="G44" s="423"/>
      <c r="H44" s="482"/>
      <c r="I44" s="536"/>
      <c r="J44" s="471"/>
    </row>
    <row r="45" spans="1:10" ht="12.75" hidden="1" customHeight="1" x14ac:dyDescent="0.25">
      <c r="A45" s="420"/>
      <c r="B45" s="446"/>
      <c r="C45" s="431" t="s">
        <v>986</v>
      </c>
      <c r="D45" s="415"/>
      <c r="E45" s="415"/>
      <c r="F45" s="411"/>
      <c r="G45" s="423"/>
      <c r="H45" s="482"/>
      <c r="I45" s="536"/>
      <c r="J45" s="471"/>
    </row>
    <row r="46" spans="1:10" ht="12.75" hidden="1" customHeight="1" x14ac:dyDescent="0.25">
      <c r="A46" s="420"/>
      <c r="B46" s="446"/>
      <c r="C46" s="431" t="s">
        <v>987</v>
      </c>
      <c r="D46" s="415"/>
      <c r="E46" s="415"/>
      <c r="F46" s="411"/>
      <c r="G46" s="423"/>
      <c r="H46" s="482"/>
      <c r="I46" s="536"/>
      <c r="J46" s="471"/>
    </row>
    <row r="47" spans="1:10" ht="12.75" hidden="1" customHeight="1" x14ac:dyDescent="0.25">
      <c r="A47" s="420"/>
      <c r="B47" s="446"/>
      <c r="C47" s="431" t="s">
        <v>988</v>
      </c>
      <c r="D47" s="415"/>
      <c r="E47" s="415"/>
      <c r="F47" s="411"/>
      <c r="G47" s="423"/>
      <c r="H47" s="482"/>
      <c r="I47" s="536"/>
      <c r="J47" s="471"/>
    </row>
    <row r="48" spans="1:10" ht="12.75" hidden="1" customHeight="1" x14ac:dyDescent="0.25">
      <c r="A48" s="420"/>
      <c r="B48" s="446"/>
      <c r="C48" s="431" t="s">
        <v>989</v>
      </c>
      <c r="D48" s="415"/>
      <c r="E48" s="415"/>
      <c r="F48" s="411"/>
      <c r="G48" s="423"/>
      <c r="H48" s="482"/>
      <c r="I48" s="536"/>
      <c r="J48" s="471"/>
    </row>
    <row r="49" spans="1:10" ht="12.75" customHeight="1" x14ac:dyDescent="0.25">
      <c r="A49" s="420"/>
      <c r="B49" s="446"/>
      <c r="C49" s="431"/>
      <c r="D49" s="415"/>
      <c r="E49" s="415"/>
      <c r="F49" s="411"/>
      <c r="G49" s="423"/>
      <c r="H49" s="482"/>
      <c r="I49" s="536"/>
      <c r="J49" s="471"/>
    </row>
    <row r="50" spans="1:10" ht="15" customHeight="1" x14ac:dyDescent="0.25">
      <c r="A50" s="420"/>
      <c r="B50" s="446"/>
      <c r="C50" s="431"/>
      <c r="D50" s="415"/>
      <c r="E50" s="415"/>
      <c r="F50" s="448">
        <f>SUM(F40:F49)</f>
        <v>150000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415"/>
      <c r="E53" s="666">
        <v>26000</v>
      </c>
      <c r="F53" s="450"/>
      <c r="G53" s="411">
        <v>25000</v>
      </c>
      <c r="H53" s="482"/>
      <c r="I53" s="536"/>
      <c r="J53" s="471"/>
    </row>
    <row r="54" spans="1:10" ht="15" hidden="1" customHeight="1" x14ac:dyDescent="0.25">
      <c r="A54" s="420"/>
      <c r="B54" s="446"/>
      <c r="C54" s="449" t="s">
        <v>611</v>
      </c>
      <c r="D54" s="415"/>
      <c r="E54" s="415"/>
      <c r="F54" s="415"/>
      <c r="G54" s="411"/>
      <c r="H54" s="482"/>
      <c r="I54" s="536"/>
      <c r="J54" s="471"/>
    </row>
    <row r="55" spans="1:10" ht="15" customHeight="1" x14ac:dyDescent="0.25">
      <c r="A55" s="420"/>
      <c r="B55" s="415"/>
      <c r="C55" s="449" t="s">
        <v>979</v>
      </c>
      <c r="D55" s="415"/>
      <c r="E55" s="428"/>
      <c r="F55" s="428"/>
      <c r="G55" s="447">
        <f>IF(G19&gt;10000, 10000, G19)</f>
        <v>0</v>
      </c>
      <c r="H55" s="482"/>
      <c r="I55" s="536"/>
      <c r="J55" s="471"/>
    </row>
    <row r="56" spans="1:10" x14ac:dyDescent="0.25">
      <c r="A56" s="420"/>
      <c r="B56" s="415"/>
      <c r="C56" s="543" t="s">
        <v>853</v>
      </c>
      <c r="D56" s="415"/>
      <c r="E56" s="428"/>
      <c r="F56" s="428"/>
      <c r="G56" s="411"/>
      <c r="H56" s="482">
        <f>SUM(G50:G56)</f>
        <v>225000</v>
      </c>
      <c r="I56" s="537">
        <f>IF(H56&lt;&gt;0,0,"NIL")</f>
        <v>0</v>
      </c>
      <c r="J56" s="472"/>
    </row>
    <row r="57" spans="1:10" ht="15.75" customHeight="1" thickBot="1" x14ac:dyDescent="0.3">
      <c r="A57" s="420"/>
      <c r="B57" s="451" t="s">
        <v>777</v>
      </c>
      <c r="C57" s="415"/>
      <c r="D57" s="415"/>
      <c r="E57" s="452">
        <f>IF((H37-H56)&lt;0,0,(H37-H56))</f>
        <v>6077000</v>
      </c>
      <c r="F57" s="453" t="s">
        <v>779</v>
      </c>
      <c r="G57" s="440"/>
      <c r="H57" s="486">
        <f>ROUND((E57/10),0)*10</f>
        <v>6077000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1648100</v>
      </c>
      <c r="H61" s="488"/>
      <c r="I61" s="537"/>
      <c r="J61" s="472"/>
    </row>
    <row r="62" spans="1:10" ht="15" customHeight="1" x14ac:dyDescent="0.25">
      <c r="A62" s="420"/>
      <c r="C62" s="524" t="s">
        <v>1015</v>
      </c>
      <c r="D62" s="456"/>
      <c r="E62" s="428"/>
      <c r="F62" s="415"/>
      <c r="G62" s="527">
        <f>IF(H57&gt;500000,0,IF(G61&gt;2000,2000,G61))</f>
        <v>0</v>
      </c>
      <c r="H62" s="489">
        <f>G61-G62</f>
        <v>1648100</v>
      </c>
      <c r="I62" s="537">
        <f>IF(H62&lt;&gt;0,0,"NIL")</f>
        <v>0</v>
      </c>
      <c r="J62" s="472"/>
    </row>
    <row r="63" spans="1:10" ht="15" customHeight="1" x14ac:dyDescent="0.25">
      <c r="A63" s="420"/>
      <c r="B63" s="408" t="s">
        <v>774</v>
      </c>
      <c r="C63" s="415"/>
      <c r="D63" s="456"/>
      <c r="E63" s="428"/>
      <c r="F63" s="415"/>
      <c r="G63" s="428"/>
      <c r="H63" s="489">
        <f>ROUND((H62)*0.02,0)</f>
        <v>32962</v>
      </c>
      <c r="I63" s="537">
        <f>IF(H63&lt;&gt;0,0,"NIL")</f>
        <v>0</v>
      </c>
      <c r="J63" s="472"/>
    </row>
    <row r="64" spans="1:10" ht="15" customHeight="1" x14ac:dyDescent="0.25">
      <c r="A64" s="420"/>
      <c r="B64" s="408" t="s">
        <v>775</v>
      </c>
      <c r="C64" s="415"/>
      <c r="D64" s="456"/>
      <c r="E64" s="458"/>
      <c r="F64" s="415"/>
      <c r="G64" s="428"/>
      <c r="H64" s="528">
        <f>ROUND((H62)*0.01,0)</f>
        <v>16481</v>
      </c>
      <c r="I64" s="540">
        <f>IF(H64&lt;&gt;0,0,"NIL")</f>
        <v>0</v>
      </c>
      <c r="J64" s="474"/>
    </row>
    <row r="65" spans="1:11" ht="15" customHeight="1" x14ac:dyDescent="0.25">
      <c r="A65" s="420"/>
      <c r="B65" s="450" t="s">
        <v>565</v>
      </c>
      <c r="C65" s="415"/>
      <c r="D65" s="456"/>
      <c r="E65" s="458"/>
      <c r="F65" s="415"/>
      <c r="G65" s="428"/>
      <c r="H65" s="488">
        <f>SUM(H62:H64)</f>
        <v>1697543</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1697543</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1697543</v>
      </c>
      <c r="I69" s="537">
        <f>IF(H69&lt;&gt;0,0,"NIL")</f>
        <v>0</v>
      </c>
      <c r="J69" s="472"/>
    </row>
    <row r="70" spans="1:11" ht="15" customHeight="1" x14ac:dyDescent="0.25">
      <c r="A70" s="420"/>
      <c r="B70" s="421" t="s">
        <v>571</v>
      </c>
      <c r="C70" s="428"/>
      <c r="D70" s="428"/>
      <c r="E70" s="428"/>
      <c r="F70" s="428"/>
      <c r="G70" s="428"/>
      <c r="H70" s="490"/>
      <c r="I70" s="537"/>
      <c r="J70" s="471"/>
    </row>
    <row r="71" spans="1:11" ht="15" customHeight="1" x14ac:dyDescent="0.3">
      <c r="A71" s="420"/>
      <c r="B71" s="667">
        <v>42289</v>
      </c>
      <c r="C71" s="1340" t="s">
        <v>993</v>
      </c>
      <c r="D71" s="1340"/>
      <c r="E71" s="1340"/>
      <c r="F71" s="1340"/>
      <c r="G71" s="447">
        <v>90000</v>
      </c>
      <c r="H71" s="482"/>
      <c r="I71" s="536"/>
      <c r="J71" s="472"/>
    </row>
    <row r="72" spans="1:11" ht="15" customHeight="1" x14ac:dyDescent="0.3">
      <c r="A72" s="420"/>
      <c r="B72" s="588">
        <f>SUM(G71:G74)</f>
        <v>1460870</v>
      </c>
      <c r="C72" s="1340" t="s">
        <v>570</v>
      </c>
      <c r="D72" s="1340"/>
      <c r="E72" s="1340"/>
      <c r="F72" s="1340"/>
      <c r="G72" s="410">
        <v>1210870</v>
      </c>
      <c r="H72" s="482"/>
      <c r="I72" s="536"/>
      <c r="J72" s="472"/>
    </row>
    <row r="73" spans="1:11" ht="12.75" customHeight="1" x14ac:dyDescent="0.3">
      <c r="A73" s="420"/>
      <c r="B73" s="459"/>
      <c r="C73" s="1340" t="s">
        <v>1124</v>
      </c>
      <c r="D73" s="1340"/>
      <c r="E73" s="1340"/>
      <c r="F73" s="1340"/>
      <c r="G73" s="410">
        <v>160000</v>
      </c>
      <c r="H73" s="482"/>
      <c r="I73" s="536"/>
      <c r="J73" s="472"/>
    </row>
    <row r="74" spans="1:11" ht="12.75" hidden="1" customHeight="1" x14ac:dyDescent="0.3">
      <c r="A74" s="420"/>
      <c r="B74" s="459"/>
      <c r="C74" s="1340"/>
      <c r="D74" s="1340"/>
      <c r="E74" s="1340"/>
      <c r="F74" s="1340"/>
      <c r="G74" s="410"/>
      <c r="H74" s="482"/>
      <c r="I74" s="536"/>
      <c r="J74" s="472"/>
    </row>
    <row r="75" spans="1:11" ht="12.75" customHeight="1" thickBot="1" x14ac:dyDescent="0.35">
      <c r="A75" s="414"/>
      <c r="B75" s="477"/>
      <c r="C75" s="1341" t="s">
        <v>850</v>
      </c>
      <c r="D75" s="1341"/>
      <c r="E75" s="1341"/>
      <c r="F75" s="1341"/>
      <c r="G75" s="481">
        <v>240000</v>
      </c>
      <c r="H75" s="493">
        <f>SUM(G71:G75)</f>
        <v>1700870</v>
      </c>
      <c r="I75" s="541">
        <f>IF(H75&lt;&gt;0,0,"NIL")</f>
        <v>0</v>
      </c>
      <c r="J75" s="478"/>
    </row>
    <row r="76" spans="1:11" ht="18" customHeight="1" thickBot="1" x14ac:dyDescent="0.3">
      <c r="A76" s="494"/>
      <c r="B76" s="495" t="str">
        <f>IF(H76=0,"TAX  PAYABLE / REFUND ",IF(H76&lt;0,"REFUND","TAX  PAYABLE"))</f>
        <v>REFUND</v>
      </c>
      <c r="C76" s="496"/>
      <c r="D76" s="496"/>
      <c r="E76" s="497"/>
      <c r="F76" s="498" t="s">
        <v>776</v>
      </c>
      <c r="G76" s="497"/>
      <c r="H76" s="499">
        <f>ROUND((H69-H75)/10,0)*10</f>
        <v>-3330</v>
      </c>
      <c r="I76" s="542">
        <f>IF(H76&lt;&gt;0,0,"NIL")</f>
        <v>0</v>
      </c>
      <c r="J76" s="500"/>
    </row>
    <row r="77" spans="1:11" x14ac:dyDescent="0.25">
      <c r="A77" s="567"/>
      <c r="B77" s="570"/>
      <c r="C77" s="570"/>
      <c r="D77" s="570"/>
      <c r="E77" s="570"/>
      <c r="F77" s="570"/>
      <c r="G77" s="570"/>
      <c r="H77" s="570"/>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row r="82" spans="1:11" x14ac:dyDescent="0.25">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xr:uid="{00000000-0002-0000-0400-000000000000}">
      <formula1>"SALARY RECEIVED, PENSION RECEIVED"</formula1>
    </dataValidation>
    <dataValidation type="list" errorStyle="information" allowBlank="1" showInputMessage="1" showErrorMessage="1" sqref="C42" xr:uid="{00000000-0002-0000-04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1"/>
  <sheetViews>
    <sheetView showZeros="0" topLeftCell="A44"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1082</v>
      </c>
      <c r="D4" s="422"/>
      <c r="E4" s="415"/>
      <c r="F4" s="423"/>
      <c r="G4" s="411">
        <v>1140000</v>
      </c>
      <c r="H4" s="482"/>
      <c r="I4" s="536"/>
      <c r="J4" s="471"/>
    </row>
    <row r="5" spans="1:10" ht="15" customHeight="1" x14ac:dyDescent="0.25">
      <c r="A5" s="420"/>
      <c r="B5" s="415"/>
      <c r="C5" s="408" t="s">
        <v>848</v>
      </c>
      <c r="D5" s="415"/>
      <c r="E5" s="415"/>
      <c r="F5" s="415"/>
      <c r="G5" s="425"/>
      <c r="H5" s="482">
        <f>G4-G5</f>
        <v>1140000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1127</v>
      </c>
      <c r="D7" s="422"/>
      <c r="E7" s="427"/>
      <c r="F7" s="428"/>
      <c r="G7" s="411">
        <v>720000</v>
      </c>
      <c r="H7" s="482"/>
      <c r="I7" s="537"/>
      <c r="J7" s="472"/>
    </row>
    <row r="8" spans="1:10" ht="15" customHeight="1" x14ac:dyDescent="0.25">
      <c r="A8" s="420"/>
      <c r="B8" s="415"/>
      <c r="C8" s="408" t="s">
        <v>769</v>
      </c>
      <c r="D8" s="415"/>
      <c r="E8" s="415"/>
      <c r="F8" s="415"/>
      <c r="G8" s="479">
        <v>20000</v>
      </c>
      <c r="H8" s="482"/>
      <c r="I8" s="537"/>
      <c r="J8" s="472"/>
    </row>
    <row r="9" spans="1:10" ht="15" customHeight="1" x14ac:dyDescent="0.25">
      <c r="A9" s="420"/>
      <c r="B9" s="415"/>
      <c r="C9" s="408"/>
      <c r="D9" s="415"/>
      <c r="E9" s="415"/>
      <c r="F9" s="415"/>
      <c r="G9" s="423">
        <f>IF((G7-G8)&lt;0,0,(G7-G8))</f>
        <v>700000</v>
      </c>
      <c r="H9" s="482"/>
      <c r="I9" s="537"/>
      <c r="J9" s="472"/>
    </row>
    <row r="10" spans="1:10" ht="15" customHeight="1" x14ac:dyDescent="0.25">
      <c r="A10" s="420"/>
      <c r="B10" s="415"/>
      <c r="C10" s="590" t="s">
        <v>514</v>
      </c>
      <c r="D10" s="415"/>
      <c r="G10" s="423"/>
      <c r="H10" s="482"/>
      <c r="I10" s="537"/>
      <c r="J10" s="472"/>
    </row>
    <row r="11" spans="1:10" ht="15" customHeight="1" x14ac:dyDescent="0.25">
      <c r="A11" s="420"/>
      <c r="B11" s="415"/>
      <c r="D11" s="415"/>
      <c r="E11" s="415" t="s">
        <v>1093</v>
      </c>
      <c r="F11" s="668">
        <f>G9*0.3</f>
        <v>210000</v>
      </c>
      <c r="G11" s="592">
        <f>+F11</f>
        <v>210000</v>
      </c>
      <c r="H11" s="482">
        <f>G9-G11</f>
        <v>490000</v>
      </c>
      <c r="I11" s="537">
        <f>IF(H11&lt;&gt;0,0,"NIL")</f>
        <v>0</v>
      </c>
      <c r="J11" s="472"/>
    </row>
    <row r="12" spans="1:10" ht="17.25" hidden="1" customHeight="1" x14ac:dyDescent="0.25">
      <c r="A12" s="420"/>
      <c r="B12" s="421" t="s">
        <v>996</v>
      </c>
      <c r="C12" s="408"/>
      <c r="D12" s="415"/>
      <c r="E12" s="429"/>
      <c r="F12" s="423"/>
      <c r="G12" s="415"/>
      <c r="H12" s="482"/>
      <c r="I12" s="537"/>
      <c r="J12" s="472"/>
    </row>
    <row r="13" spans="1:10" ht="15" hidden="1" customHeight="1" x14ac:dyDescent="0.25">
      <c r="A13" s="420"/>
      <c r="B13" s="415"/>
      <c r="C13" s="408" t="s">
        <v>991</v>
      </c>
      <c r="D13" s="415"/>
      <c r="E13" s="429"/>
      <c r="F13" s="423"/>
      <c r="G13" s="411"/>
      <c r="H13" s="482"/>
      <c r="I13" s="537"/>
      <c r="J13" s="472"/>
    </row>
    <row r="14" spans="1:10" ht="15" hidden="1" customHeight="1" x14ac:dyDescent="0.25">
      <c r="A14" s="420"/>
      <c r="B14" s="415"/>
      <c r="C14" s="408" t="s">
        <v>992</v>
      </c>
      <c r="D14" s="415"/>
      <c r="E14" s="429"/>
      <c r="F14" s="423"/>
      <c r="G14" s="479"/>
      <c r="H14" s="483">
        <f>G13-G14</f>
        <v>0</v>
      </c>
      <c r="I14" s="537" t="str">
        <f>IF(H14&lt;&gt;0,0,"NIL")</f>
        <v>NIL</v>
      </c>
      <c r="J14" s="472"/>
    </row>
    <row r="15" spans="1:10" ht="15" customHeight="1" x14ac:dyDescent="0.25">
      <c r="A15" s="420"/>
      <c r="B15" s="421" t="s">
        <v>997</v>
      </c>
      <c r="C15" s="415"/>
      <c r="D15" s="415"/>
      <c r="E15" s="415"/>
      <c r="F15" s="415"/>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1168</v>
      </c>
      <c r="D20" s="431"/>
      <c r="E20" s="431"/>
      <c r="F20" s="408"/>
      <c r="G20" s="411">
        <v>800000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800000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800000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2430000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1149</v>
      </c>
      <c r="D44" s="415"/>
      <c r="E44" s="415"/>
      <c r="F44" s="411">
        <v>20000</v>
      </c>
      <c r="G44" s="423"/>
      <c r="H44" s="482"/>
      <c r="I44" s="536"/>
      <c r="J44" s="471"/>
    </row>
    <row r="45" spans="1:10" ht="12.75" customHeight="1" x14ac:dyDescent="0.25">
      <c r="A45" s="420"/>
      <c r="B45" s="446"/>
      <c r="C45" s="431" t="s">
        <v>509</v>
      </c>
      <c r="D45" s="415"/>
      <c r="E45" s="415"/>
      <c r="F45" s="411">
        <v>150000</v>
      </c>
      <c r="G45" s="423"/>
      <c r="H45" s="482"/>
      <c r="I45" s="536"/>
      <c r="J45" s="471"/>
    </row>
    <row r="46" spans="1:10" ht="12.75" hidden="1" customHeight="1" x14ac:dyDescent="0.25">
      <c r="A46" s="420"/>
      <c r="B46" s="446"/>
      <c r="C46" s="431" t="s">
        <v>986</v>
      </c>
      <c r="D46" s="415"/>
      <c r="E46" s="415"/>
      <c r="F46" s="411"/>
      <c r="G46" s="423"/>
      <c r="H46" s="482"/>
      <c r="I46" s="536"/>
      <c r="J46" s="471"/>
    </row>
    <row r="47" spans="1:10" ht="12.75" hidden="1" customHeight="1" x14ac:dyDescent="0.25">
      <c r="A47" s="420"/>
      <c r="B47" s="446"/>
      <c r="C47" s="431" t="s">
        <v>987</v>
      </c>
      <c r="D47" s="415"/>
      <c r="E47" s="415"/>
      <c r="F47" s="411"/>
      <c r="G47" s="423"/>
      <c r="H47" s="482"/>
      <c r="I47" s="536"/>
      <c r="J47" s="471"/>
    </row>
    <row r="48" spans="1:10" ht="12.75" hidden="1" customHeight="1" x14ac:dyDescent="0.25">
      <c r="A48" s="420"/>
      <c r="B48" s="446"/>
      <c r="C48" s="431" t="s">
        <v>988</v>
      </c>
      <c r="D48" s="415"/>
      <c r="E48" s="415"/>
      <c r="F48" s="411"/>
      <c r="G48" s="423"/>
      <c r="H48" s="482"/>
      <c r="I48" s="536"/>
      <c r="J48" s="471"/>
    </row>
    <row r="49" spans="1:10" ht="12.75" hidden="1" customHeight="1" x14ac:dyDescent="0.25">
      <c r="A49" s="420"/>
      <c r="B49" s="446"/>
      <c r="C49" s="431" t="s">
        <v>989</v>
      </c>
      <c r="D49" s="415"/>
      <c r="E49" s="415"/>
      <c r="F49" s="411"/>
      <c r="G49" s="423"/>
      <c r="H49" s="482"/>
      <c r="I49" s="536"/>
      <c r="J49" s="471"/>
    </row>
    <row r="50" spans="1:10" ht="15" customHeight="1" x14ac:dyDescent="0.25">
      <c r="A50" s="420"/>
      <c r="B50" s="446"/>
      <c r="C50" s="431"/>
      <c r="D50" s="415"/>
      <c r="E50" s="415"/>
      <c r="F50" s="448">
        <f>SUM(F40:F49)</f>
        <v>170000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671" t="s">
        <v>1170</v>
      </c>
      <c r="E53" s="669">
        <v>32000</v>
      </c>
      <c r="F53" s="450"/>
      <c r="G53" s="411">
        <v>30000</v>
      </c>
      <c r="H53" s="482"/>
      <c r="I53" s="536"/>
      <c r="J53" s="471"/>
    </row>
    <row r="54" spans="1:10" ht="15" customHeight="1" x14ac:dyDescent="0.25">
      <c r="A54" s="420"/>
      <c r="B54" s="446"/>
      <c r="C54" s="449" t="s">
        <v>611</v>
      </c>
      <c r="D54" s="415"/>
      <c r="E54" s="670" t="s">
        <v>1169</v>
      </c>
      <c r="F54" s="415"/>
      <c r="G54" s="411">
        <v>20000</v>
      </c>
      <c r="H54" s="482"/>
      <c r="I54" s="536"/>
      <c r="J54" s="471"/>
    </row>
    <row r="55" spans="1:10" ht="15" customHeight="1" x14ac:dyDescent="0.25">
      <c r="A55" s="420"/>
      <c r="B55" s="415"/>
      <c r="C55" s="449" t="s">
        <v>979</v>
      </c>
      <c r="D55" s="415"/>
      <c r="E55" s="428"/>
      <c r="F55" s="428"/>
      <c r="G55" s="447">
        <f>IF(G19&gt;10000, 10000, G19)</f>
        <v>0</v>
      </c>
      <c r="H55" s="482"/>
      <c r="I55" s="536"/>
      <c r="J55" s="471"/>
    </row>
    <row r="56" spans="1:10" ht="15" customHeight="1" x14ac:dyDescent="0.25">
      <c r="A56" s="420"/>
      <c r="B56" s="415"/>
      <c r="C56" s="543" t="s">
        <v>853</v>
      </c>
      <c r="D56" s="415"/>
      <c r="E56" s="428"/>
      <c r="F56" s="428"/>
      <c r="G56" s="411"/>
      <c r="H56" s="482">
        <f>SUM(G50:G56)</f>
        <v>250000</v>
      </c>
      <c r="I56" s="537">
        <f>IF(H56&lt;&gt;0,0,"NIL")</f>
        <v>0</v>
      </c>
      <c r="J56" s="472"/>
    </row>
    <row r="57" spans="1:10" ht="15.75" customHeight="1" thickBot="1" x14ac:dyDescent="0.3">
      <c r="A57" s="420"/>
      <c r="B57" s="451" t="s">
        <v>777</v>
      </c>
      <c r="C57" s="415"/>
      <c r="D57" s="415"/>
      <c r="E57" s="452">
        <f>IF((H37-H56)&lt;0,0,(H37-H56))</f>
        <v>2180000</v>
      </c>
      <c r="F57" s="453" t="s">
        <v>779</v>
      </c>
      <c r="G57" s="440"/>
      <c r="H57" s="486">
        <f>ROUND((E57/10),0)*10</f>
        <v>2180000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474000</v>
      </c>
      <c r="H61" s="488"/>
      <c r="I61" s="537"/>
      <c r="J61" s="472"/>
    </row>
    <row r="62" spans="1:10" ht="15" customHeight="1" x14ac:dyDescent="0.25">
      <c r="A62" s="420"/>
      <c r="C62" s="524" t="s">
        <v>1015</v>
      </c>
      <c r="D62" s="456"/>
      <c r="E62" s="428"/>
      <c r="F62" s="415"/>
      <c r="G62" s="527">
        <f>IF(H57&gt;500000,0,IF(G61&gt;2000,2000,G61))</f>
        <v>0</v>
      </c>
      <c r="H62" s="489">
        <f>G61-G62</f>
        <v>474000</v>
      </c>
      <c r="I62" s="537">
        <f>IF(H62&lt;&gt;0,0,"NIL")</f>
        <v>0</v>
      </c>
      <c r="J62" s="472"/>
    </row>
    <row r="63" spans="1:10" ht="15" customHeight="1" x14ac:dyDescent="0.25">
      <c r="A63" s="420"/>
      <c r="B63" s="408" t="s">
        <v>774</v>
      </c>
      <c r="C63" s="415"/>
      <c r="D63" s="456"/>
      <c r="E63" s="428"/>
      <c r="F63" s="415"/>
      <c r="G63" s="428"/>
      <c r="H63" s="489">
        <f>ROUND((H62)*0.02,0)</f>
        <v>9480</v>
      </c>
      <c r="I63" s="537">
        <f>IF(H63&lt;&gt;0,0,"NIL")</f>
        <v>0</v>
      </c>
      <c r="J63" s="472"/>
    </row>
    <row r="64" spans="1:10" ht="15" customHeight="1" x14ac:dyDescent="0.25">
      <c r="A64" s="420"/>
      <c r="B64" s="408" t="s">
        <v>775</v>
      </c>
      <c r="C64" s="415"/>
      <c r="D64" s="456"/>
      <c r="E64" s="458"/>
      <c r="F64" s="415"/>
      <c r="G64" s="428"/>
      <c r="H64" s="528">
        <f>ROUND((H62)*0.01,0)</f>
        <v>4740</v>
      </c>
      <c r="I64" s="540">
        <f>IF(H64&lt;&gt;0,0,"NIL")</f>
        <v>0</v>
      </c>
      <c r="J64" s="474"/>
    </row>
    <row r="65" spans="1:11" ht="15" customHeight="1" x14ac:dyDescent="0.25">
      <c r="A65" s="420"/>
      <c r="B65" s="450" t="s">
        <v>565</v>
      </c>
      <c r="C65" s="415"/>
      <c r="D65" s="456"/>
      <c r="E65" s="458"/>
      <c r="F65" s="415"/>
      <c r="G65" s="428"/>
      <c r="H65" s="488">
        <f>SUM(H62:H64)</f>
        <v>488220</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488220</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488220</v>
      </c>
      <c r="I69" s="537">
        <f>IF(H69&lt;&gt;0,0,"NIL")</f>
        <v>0</v>
      </c>
      <c r="J69" s="472"/>
    </row>
    <row r="70" spans="1:11" ht="15" customHeight="1" x14ac:dyDescent="0.25">
      <c r="A70" s="420"/>
      <c r="B70" s="421" t="s">
        <v>571</v>
      </c>
      <c r="C70" s="428"/>
      <c r="D70" s="428"/>
      <c r="E70" s="428"/>
      <c r="F70" s="428"/>
      <c r="G70" s="428"/>
      <c r="H70" s="490"/>
      <c r="I70" s="537"/>
      <c r="J70" s="471"/>
    </row>
    <row r="71" spans="1:11" ht="15" hidden="1" customHeight="1" x14ac:dyDescent="0.3">
      <c r="A71" s="420"/>
      <c r="B71" s="415"/>
      <c r="C71" s="1340"/>
      <c r="D71" s="1340"/>
      <c r="E71" s="1340"/>
      <c r="F71" s="1340"/>
      <c r="G71" s="447"/>
      <c r="H71" s="482"/>
      <c r="I71" s="536"/>
      <c r="J71" s="472"/>
    </row>
    <row r="72" spans="1:11" ht="15" customHeight="1" x14ac:dyDescent="0.3">
      <c r="A72" s="420"/>
      <c r="B72" s="588">
        <f>SUM(G71:G73)</f>
        <v>111500</v>
      </c>
      <c r="C72" s="1340" t="s">
        <v>570</v>
      </c>
      <c r="D72" s="1340"/>
      <c r="E72" s="1340"/>
      <c r="F72" s="1340"/>
      <c r="G72" s="410">
        <v>111500</v>
      </c>
      <c r="H72" s="482"/>
      <c r="I72" s="536"/>
      <c r="J72" s="472"/>
    </row>
    <row r="73" spans="1:11" ht="12.75" hidden="1" customHeight="1" x14ac:dyDescent="0.3">
      <c r="A73" s="420"/>
      <c r="B73" s="459"/>
      <c r="C73" s="1340"/>
      <c r="D73" s="1340"/>
      <c r="E73" s="1340"/>
      <c r="F73" s="1340"/>
      <c r="G73" s="410"/>
      <c r="H73" s="482"/>
      <c r="I73" s="536"/>
      <c r="J73" s="472"/>
    </row>
    <row r="74" spans="1:11" ht="12.75" customHeight="1" thickBot="1" x14ac:dyDescent="0.35">
      <c r="A74" s="414"/>
      <c r="B74" s="477"/>
      <c r="C74" s="1341" t="s">
        <v>1171</v>
      </c>
      <c r="D74" s="1341"/>
      <c r="E74" s="1341"/>
      <c r="F74" s="1341"/>
      <c r="G74" s="481">
        <f>IF(H69-SUM(G71:G73)&gt;0,(H69-SUM(G71:G73)),0)</f>
        <v>376720</v>
      </c>
      <c r="H74" s="493">
        <f>SUM(G71:G74)</f>
        <v>488220</v>
      </c>
      <c r="I74" s="541">
        <f>IF(H74&lt;&gt;0,0,"NIL")</f>
        <v>0</v>
      </c>
      <c r="J74" s="478"/>
    </row>
    <row r="75" spans="1:11" ht="18" customHeight="1" thickBot="1" x14ac:dyDescent="0.3">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x14ac:dyDescent="0.25">
      <c r="A76" s="567"/>
      <c r="B76" s="570"/>
      <c r="C76" s="570"/>
      <c r="D76" s="570"/>
      <c r="E76" s="570"/>
      <c r="F76" s="570"/>
      <c r="G76" s="570"/>
      <c r="H76" s="570"/>
      <c r="I76" s="568"/>
      <c r="J76" s="569"/>
      <c r="K76" s="554"/>
    </row>
    <row r="77" spans="1:11" x14ac:dyDescent="0.25">
      <c r="A77" s="567"/>
      <c r="B77" s="554"/>
      <c r="C77" s="554"/>
      <c r="D77" s="554"/>
      <c r="E77" s="554"/>
      <c r="F77" s="554"/>
      <c r="G77" s="554"/>
      <c r="H77" s="554"/>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xr:uid="{00000000-0002-0000-0500-000000000000}">
      <formula1>"SALARY RECEIVED, PENSION RECEIVED"</formula1>
    </dataValidation>
    <dataValidation type="list" errorStyle="information" allowBlank="1" showInputMessage="1" showErrorMessage="1" sqref="C42" xr:uid="{00000000-0002-0000-05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3"/>
  <sheetViews>
    <sheetView showZeros="0" topLeftCell="A53"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3" s="413" customFormat="1" ht="18.75" customHeight="1" x14ac:dyDescent="0.25">
      <c r="A1" s="1333" t="s">
        <v>1083</v>
      </c>
      <c r="B1" s="1334"/>
      <c r="C1" s="1334"/>
      <c r="D1" s="1334"/>
      <c r="E1" s="1334"/>
      <c r="F1" s="1334"/>
      <c r="G1" s="1334"/>
      <c r="H1" s="1334"/>
      <c r="I1" s="1334"/>
      <c r="J1" s="1335"/>
      <c r="K1" s="412"/>
      <c r="L1" s="412"/>
    </row>
    <row r="2" spans="1:13" ht="18" customHeight="1" thickBot="1" x14ac:dyDescent="0.3">
      <c r="A2" s="1336" t="s">
        <v>562</v>
      </c>
      <c r="B2" s="1337"/>
      <c r="C2" s="1337"/>
      <c r="D2" s="1337"/>
      <c r="E2" s="1337"/>
      <c r="F2" s="1337"/>
      <c r="G2" s="1337"/>
      <c r="H2" s="1337"/>
      <c r="I2" s="1337"/>
      <c r="J2" s="1338"/>
      <c r="K2" s="415"/>
      <c r="L2" s="415"/>
    </row>
    <row r="3" spans="1:13" ht="20.100000000000001" customHeight="1" x14ac:dyDescent="0.25">
      <c r="A3" s="417"/>
      <c r="B3" s="418" t="s">
        <v>994</v>
      </c>
      <c r="C3" s="419"/>
      <c r="D3" s="419"/>
      <c r="E3" s="419"/>
      <c r="F3" s="419"/>
      <c r="G3" s="419"/>
      <c r="H3" s="501" t="s">
        <v>1013</v>
      </c>
      <c r="I3" s="535"/>
      <c r="J3" s="470"/>
      <c r="K3" s="415"/>
      <c r="L3" s="415"/>
    </row>
    <row r="4" spans="1:13" ht="15" customHeight="1" x14ac:dyDescent="0.25">
      <c r="A4" s="420"/>
      <c r="B4" s="421"/>
      <c r="C4" s="422" t="s">
        <v>567</v>
      </c>
      <c r="D4" s="422"/>
      <c r="E4" s="415"/>
      <c r="F4" s="423"/>
      <c r="G4" s="411">
        <v>16600000</v>
      </c>
      <c r="H4" s="482"/>
      <c r="I4" s="536"/>
      <c r="J4" s="471"/>
      <c r="K4" s="415"/>
      <c r="L4" s="415"/>
    </row>
    <row r="5" spans="1:13" ht="15" customHeight="1" x14ac:dyDescent="0.25">
      <c r="A5" s="420"/>
      <c r="B5" s="415"/>
      <c r="C5" s="408" t="s">
        <v>1146</v>
      </c>
      <c r="D5" s="415"/>
      <c r="E5" s="415"/>
      <c r="F5" s="415"/>
      <c r="G5" s="425">
        <v>2490000</v>
      </c>
      <c r="H5" s="484"/>
      <c r="I5" s="537">
        <f>IF(H6&lt;&gt;0,0,"NIL")</f>
        <v>0</v>
      </c>
      <c r="J5" s="472"/>
      <c r="K5" s="415"/>
      <c r="L5" s="415"/>
    </row>
    <row r="6" spans="1:13" ht="15" customHeight="1" thickBot="1" x14ac:dyDescent="0.3">
      <c r="A6" s="420"/>
      <c r="B6" s="415"/>
      <c r="C6" s="408"/>
      <c r="D6" s="415"/>
      <c r="E6" s="415"/>
      <c r="F6" s="415"/>
      <c r="G6" s="662">
        <f>G4+G5</f>
        <v>19090000</v>
      </c>
      <c r="H6" s="482">
        <f>+G6</f>
        <v>19090000</v>
      </c>
      <c r="I6" s="537"/>
      <c r="J6" s="472"/>
      <c r="K6" s="415"/>
      <c r="L6" s="415"/>
    </row>
    <row r="7" spans="1:13" ht="15" customHeight="1" thickTop="1" x14ac:dyDescent="0.25">
      <c r="A7" s="420"/>
      <c r="B7" s="426" t="s">
        <v>995</v>
      </c>
      <c r="C7" s="415"/>
      <c r="D7" s="415"/>
      <c r="E7" s="525" t="s">
        <v>1014</v>
      </c>
      <c r="F7" s="423"/>
      <c r="G7" s="415"/>
      <c r="H7" s="482"/>
      <c r="I7" s="537"/>
      <c r="J7" s="472"/>
      <c r="K7" s="415"/>
      <c r="L7" s="415"/>
    </row>
    <row r="8" spans="1:13" ht="15" customHeight="1" x14ac:dyDescent="0.25">
      <c r="A8" s="420"/>
      <c r="B8" s="426"/>
      <c r="C8" s="583" t="s">
        <v>1127</v>
      </c>
      <c r="D8" s="422"/>
      <c r="E8" s="663" t="s">
        <v>1155</v>
      </c>
      <c r="F8" s="653"/>
      <c r="G8" s="654">
        <v>300000</v>
      </c>
      <c r="H8" s="482"/>
      <c r="I8" s="537"/>
      <c r="J8" s="472"/>
      <c r="K8" s="415"/>
      <c r="L8" s="415"/>
    </row>
    <row r="9" spans="1:13" ht="15" customHeight="1" x14ac:dyDescent="0.25">
      <c r="A9" s="420"/>
      <c r="B9" s="426"/>
      <c r="C9" s="431" t="s">
        <v>769</v>
      </c>
      <c r="D9" s="422"/>
      <c r="E9" s="427"/>
      <c r="F9" s="653"/>
      <c r="G9" s="655">
        <v>15000</v>
      </c>
      <c r="H9" s="482"/>
      <c r="I9" s="537"/>
      <c r="J9" s="472"/>
      <c r="K9" s="415"/>
      <c r="L9" s="415"/>
    </row>
    <row r="10" spans="1:13" ht="15" customHeight="1" x14ac:dyDescent="0.25">
      <c r="A10" s="420"/>
      <c r="B10" s="426"/>
      <c r="C10" s="583"/>
      <c r="D10" s="422"/>
      <c r="E10" s="427"/>
      <c r="F10" s="653"/>
      <c r="G10" s="656">
        <f>G8-G9</f>
        <v>285000</v>
      </c>
      <c r="H10" s="482"/>
      <c r="I10" s="537"/>
      <c r="J10" s="472"/>
      <c r="K10" s="415"/>
      <c r="L10" s="415"/>
    </row>
    <row r="11" spans="1:13" ht="15" customHeight="1" x14ac:dyDescent="0.25">
      <c r="A11" s="420"/>
      <c r="B11" s="426"/>
      <c r="C11" s="590" t="s">
        <v>514</v>
      </c>
      <c r="D11" s="415"/>
      <c r="E11" s="408" t="s">
        <v>1093</v>
      </c>
      <c r="F11" s="408">
        <f>G10*0.3</f>
        <v>85500</v>
      </c>
      <c r="G11" s="656"/>
      <c r="H11" s="482"/>
      <c r="I11" s="537"/>
      <c r="J11" s="472"/>
      <c r="K11" s="415"/>
      <c r="L11" s="415"/>
    </row>
    <row r="12" spans="1:13" ht="15" customHeight="1" x14ac:dyDescent="0.25">
      <c r="A12" s="420"/>
      <c r="B12" s="426"/>
      <c r="D12" s="415"/>
      <c r="E12" s="408" t="s">
        <v>1147</v>
      </c>
      <c r="F12" s="657">
        <v>175000</v>
      </c>
      <c r="G12" s="658">
        <f>F11+F12</f>
        <v>260500</v>
      </c>
      <c r="H12" s="482"/>
      <c r="I12" s="537"/>
      <c r="J12" s="472"/>
      <c r="K12" s="415"/>
      <c r="L12" s="415"/>
    </row>
    <row r="13" spans="1:13" ht="15" customHeight="1" thickBot="1" x14ac:dyDescent="0.3">
      <c r="A13" s="420"/>
      <c r="B13" s="426"/>
      <c r="D13" s="415"/>
      <c r="E13" s="415"/>
      <c r="F13" s="423"/>
      <c r="G13" s="661">
        <f>G10-G12</f>
        <v>24500</v>
      </c>
      <c r="H13" s="482"/>
      <c r="I13" s="537"/>
      <c r="J13" s="472"/>
      <c r="K13" s="415"/>
      <c r="L13" s="415"/>
    </row>
    <row r="14" spans="1:13" ht="15" customHeight="1" thickTop="1" x14ac:dyDescent="0.25">
      <c r="A14" s="420"/>
      <c r="B14" s="426"/>
      <c r="D14" s="415"/>
      <c r="E14" s="415"/>
      <c r="F14" s="423"/>
      <c r="G14" s="423"/>
      <c r="H14" s="482"/>
      <c r="I14" s="537"/>
      <c r="J14" s="472"/>
      <c r="K14" s="415"/>
      <c r="L14" s="415"/>
    </row>
    <row r="15" spans="1:13" ht="15" customHeight="1" x14ac:dyDescent="0.25">
      <c r="A15" s="420"/>
      <c r="B15" s="415"/>
      <c r="C15" s="583" t="s">
        <v>1127</v>
      </c>
      <c r="D15" s="422"/>
      <c r="E15" s="663" t="s">
        <v>1156</v>
      </c>
      <c r="F15" s="653"/>
      <c r="G15" s="654">
        <v>300000</v>
      </c>
      <c r="H15" s="482"/>
      <c r="I15" s="537"/>
      <c r="J15" s="472"/>
      <c r="K15" s="415"/>
      <c r="L15" s="415"/>
      <c r="M15" s="415"/>
    </row>
    <row r="16" spans="1:13" ht="15" customHeight="1" x14ac:dyDescent="0.25">
      <c r="A16" s="420"/>
      <c r="B16" s="415"/>
      <c r="C16" s="431" t="s">
        <v>769</v>
      </c>
      <c r="D16" s="415"/>
      <c r="E16" s="408"/>
      <c r="F16" s="408"/>
      <c r="G16" s="659">
        <v>15000</v>
      </c>
      <c r="H16" s="482"/>
      <c r="I16" s="537"/>
      <c r="J16" s="472"/>
      <c r="K16" s="415"/>
      <c r="L16" s="415"/>
    </row>
    <row r="17" spans="1:12" ht="15" customHeight="1" x14ac:dyDescent="0.25">
      <c r="A17" s="420"/>
      <c r="B17" s="415"/>
      <c r="C17" s="408"/>
      <c r="D17" s="415"/>
      <c r="E17" s="408"/>
      <c r="F17" s="408"/>
      <c r="G17" s="656">
        <f>IF((G15-G16)&lt;0,0,(G15-G16))</f>
        <v>285000</v>
      </c>
      <c r="H17" s="482"/>
      <c r="I17" s="537"/>
      <c r="J17" s="472"/>
      <c r="K17" s="415"/>
      <c r="L17" s="415"/>
    </row>
    <row r="18" spans="1:12" ht="15" customHeight="1" x14ac:dyDescent="0.25">
      <c r="A18" s="420"/>
      <c r="B18" s="415"/>
      <c r="C18" s="590" t="s">
        <v>514</v>
      </c>
      <c r="D18" s="415"/>
      <c r="E18" s="408" t="s">
        <v>1093</v>
      </c>
      <c r="F18" s="408">
        <f>G17*0.3</f>
        <v>85500</v>
      </c>
      <c r="G18" s="656"/>
      <c r="H18" s="482"/>
      <c r="I18" s="537"/>
      <c r="J18" s="472"/>
      <c r="K18" s="415"/>
      <c r="L18" s="415"/>
    </row>
    <row r="19" spans="1:12" ht="15" customHeight="1" x14ac:dyDescent="0.25">
      <c r="A19" s="420"/>
      <c r="B19" s="415"/>
      <c r="C19" s="590"/>
      <c r="D19" s="415"/>
      <c r="E19" s="408" t="s">
        <v>1147</v>
      </c>
      <c r="F19" s="657">
        <v>175000</v>
      </c>
      <c r="G19" s="658">
        <f>F18+F19</f>
        <v>260500</v>
      </c>
      <c r="H19" s="482"/>
      <c r="I19" s="537"/>
      <c r="J19" s="472"/>
      <c r="K19" s="415"/>
      <c r="L19" s="415"/>
    </row>
    <row r="20" spans="1:12" ht="15" customHeight="1" thickBot="1" x14ac:dyDescent="0.3">
      <c r="A20" s="420"/>
      <c r="B20" s="415"/>
      <c r="D20" s="415"/>
      <c r="G20" s="661">
        <f>G17-G19</f>
        <v>24500</v>
      </c>
      <c r="H20" s="482">
        <f>G13+G20</f>
        <v>49000</v>
      </c>
      <c r="I20" s="537">
        <f>IF(H20&lt;&gt;0,0,"NIL")</f>
        <v>0</v>
      </c>
      <c r="J20" s="472"/>
      <c r="K20" s="415"/>
      <c r="L20" s="415"/>
    </row>
    <row r="21" spans="1:12" ht="17.25" hidden="1" customHeight="1" x14ac:dyDescent="0.25">
      <c r="A21" s="420"/>
      <c r="B21" s="421" t="s">
        <v>996</v>
      </c>
      <c r="C21" s="408"/>
      <c r="D21" s="415"/>
      <c r="E21" s="429"/>
      <c r="F21" s="423"/>
      <c r="G21" s="415"/>
      <c r="H21" s="482"/>
      <c r="I21" s="537"/>
      <c r="J21" s="472"/>
      <c r="K21" s="415"/>
      <c r="L21" s="415"/>
    </row>
    <row r="22" spans="1:12" ht="15" hidden="1" customHeight="1" x14ac:dyDescent="0.25">
      <c r="A22" s="420"/>
      <c r="B22" s="415"/>
      <c r="C22" s="408" t="s">
        <v>991</v>
      </c>
      <c r="D22" s="415"/>
      <c r="E22" s="429"/>
      <c r="F22" s="423"/>
      <c r="G22" s="411"/>
      <c r="H22" s="482"/>
      <c r="I22" s="537"/>
      <c r="J22" s="472"/>
      <c r="K22" s="415"/>
      <c r="L22" s="415"/>
    </row>
    <row r="23" spans="1:12" ht="15" hidden="1" customHeight="1" x14ac:dyDescent="0.25">
      <c r="A23" s="420"/>
      <c r="B23" s="415"/>
      <c r="C23" s="408" t="s">
        <v>992</v>
      </c>
      <c r="D23" s="415"/>
      <c r="E23" s="429"/>
      <c r="F23" s="423"/>
      <c r="G23" s="479"/>
      <c r="H23" s="483">
        <f>G22-G23</f>
        <v>0</v>
      </c>
      <c r="I23" s="537" t="str">
        <f>IF(H23&lt;&gt;0,0,"NIL")</f>
        <v>NIL</v>
      </c>
      <c r="J23" s="472"/>
      <c r="K23" s="415"/>
      <c r="L23" s="415"/>
    </row>
    <row r="24" spans="1:12" ht="15" hidden="1" customHeight="1" thickTop="1" x14ac:dyDescent="0.25">
      <c r="A24" s="420"/>
      <c r="B24" s="421" t="s">
        <v>997</v>
      </c>
      <c r="C24" s="415"/>
      <c r="D24" s="415"/>
      <c r="E24" s="415"/>
      <c r="F24" s="415"/>
      <c r="G24" s="415"/>
      <c r="H24" s="482"/>
      <c r="I24" s="537"/>
      <c r="J24" s="472"/>
      <c r="K24" s="415"/>
      <c r="L24" s="415"/>
    </row>
    <row r="25" spans="1:12" hidden="1" x14ac:dyDescent="0.25">
      <c r="A25" s="420"/>
      <c r="B25" s="415"/>
      <c r="C25" s="408" t="s">
        <v>498</v>
      </c>
      <c r="D25" s="415"/>
      <c r="E25" s="415"/>
      <c r="F25" s="415"/>
      <c r="G25" s="411"/>
      <c r="H25" s="482"/>
      <c r="I25" s="537"/>
      <c r="J25" s="472"/>
      <c r="K25" s="415"/>
      <c r="L25" s="415"/>
    </row>
    <row r="26" spans="1:12" hidden="1" x14ac:dyDescent="0.25">
      <c r="A26" s="420"/>
      <c r="B26" s="415"/>
      <c r="C26" s="408" t="s">
        <v>77</v>
      </c>
      <c r="D26" s="415"/>
      <c r="E26" s="415"/>
      <c r="F26" s="415"/>
      <c r="G26" s="479"/>
      <c r="H26" s="482">
        <f>G25+G26</f>
        <v>0</v>
      </c>
      <c r="I26" s="537" t="str">
        <f>IF(H26&lt;&gt;0,0,"NIL")</f>
        <v>NIL</v>
      </c>
      <c r="J26" s="472"/>
      <c r="K26" s="415"/>
      <c r="L26" s="415"/>
    </row>
    <row r="27" spans="1:12" ht="20.100000000000001" customHeight="1" thickTop="1" x14ac:dyDescent="0.25">
      <c r="A27" s="420"/>
      <c r="B27" s="421" t="s">
        <v>998</v>
      </c>
      <c r="C27" s="415"/>
      <c r="D27" s="415"/>
      <c r="E27" s="415"/>
      <c r="F27" s="415"/>
      <c r="G27" s="415"/>
      <c r="H27" s="482"/>
      <c r="I27" s="536"/>
      <c r="J27" s="471"/>
      <c r="K27" s="415"/>
      <c r="L27" s="415"/>
    </row>
    <row r="28" spans="1:12" x14ac:dyDescent="0.25">
      <c r="A28" s="420"/>
      <c r="B28" s="589"/>
      <c r="C28" s="408" t="s">
        <v>1148</v>
      </c>
      <c r="D28" s="431"/>
      <c r="E28" s="431"/>
      <c r="F28" s="415"/>
      <c r="G28" s="411">
        <v>67000</v>
      </c>
      <c r="H28" s="482"/>
      <c r="I28" s="536"/>
      <c r="J28" s="471"/>
      <c r="K28" s="415"/>
      <c r="L28" s="415"/>
    </row>
    <row r="29" spans="1:12" hidden="1" x14ac:dyDescent="0.25">
      <c r="A29" s="420"/>
      <c r="B29" s="589"/>
      <c r="C29" s="408"/>
      <c r="D29" s="431"/>
      <c r="E29" s="431"/>
      <c r="F29" s="408"/>
      <c r="G29" s="411"/>
      <c r="H29" s="482"/>
      <c r="I29" s="536"/>
      <c r="J29" s="471"/>
      <c r="K29" s="415"/>
      <c r="L29" s="415"/>
    </row>
    <row r="30" spans="1:12" x14ac:dyDescent="0.25">
      <c r="A30" s="420"/>
      <c r="B30" s="589"/>
      <c r="C30" s="408" t="s">
        <v>1125</v>
      </c>
      <c r="D30" s="431"/>
      <c r="E30" s="431"/>
      <c r="F30" s="431"/>
      <c r="G30" s="462">
        <v>518000</v>
      </c>
      <c r="H30" s="482"/>
      <c r="I30" s="536"/>
      <c r="J30" s="471"/>
      <c r="K30" s="415"/>
      <c r="L30" s="415"/>
    </row>
    <row r="31" spans="1:12" ht="15" customHeight="1" x14ac:dyDescent="0.3">
      <c r="A31" s="420"/>
      <c r="B31" s="589"/>
      <c r="C31" s="431"/>
      <c r="D31" s="434"/>
      <c r="E31" s="433"/>
      <c r="F31" s="433"/>
      <c r="G31" s="660">
        <f>SUM(G28:G30)</f>
        <v>585000</v>
      </c>
      <c r="H31" s="482"/>
      <c r="I31" s="536"/>
      <c r="J31" s="471"/>
      <c r="K31" s="415"/>
      <c r="L31" s="415"/>
    </row>
    <row r="32" spans="1:12" ht="15" hidden="1" customHeight="1" x14ac:dyDescent="0.25">
      <c r="A32" s="420"/>
      <c r="B32" s="589"/>
      <c r="C32" s="435" t="s">
        <v>512</v>
      </c>
      <c r="D32" s="436"/>
      <c r="E32" s="436"/>
      <c r="F32" s="436"/>
      <c r="G32" s="437"/>
      <c r="H32" s="482"/>
      <c r="I32" s="536"/>
      <c r="J32" s="471"/>
      <c r="K32" s="415"/>
      <c r="L32" s="415"/>
    </row>
    <row r="33" spans="1:12" ht="15" hidden="1" customHeight="1" x14ac:dyDescent="0.25">
      <c r="A33" s="420"/>
      <c r="B33" s="589"/>
      <c r="G33" s="410"/>
      <c r="H33" s="482"/>
      <c r="I33" s="536"/>
      <c r="J33" s="471"/>
      <c r="K33" s="415"/>
      <c r="L33" s="415"/>
    </row>
    <row r="34" spans="1:12" ht="15" hidden="1" customHeight="1" x14ac:dyDescent="0.25">
      <c r="A34" s="420"/>
      <c r="B34" s="589"/>
      <c r="G34" s="410"/>
      <c r="H34" s="482"/>
      <c r="I34" s="536"/>
      <c r="J34" s="471"/>
      <c r="K34" s="415"/>
      <c r="L34" s="415"/>
    </row>
    <row r="35" spans="1:12" ht="15" hidden="1" customHeight="1" x14ac:dyDescent="0.25">
      <c r="A35" s="420"/>
      <c r="B35" s="589"/>
      <c r="C35" s="436" t="s">
        <v>846</v>
      </c>
      <c r="D35" s="436"/>
      <c r="E35" s="415"/>
      <c r="F35" s="438"/>
      <c r="G35" s="437"/>
      <c r="H35" s="482"/>
      <c r="I35" s="536"/>
      <c r="J35" s="471"/>
      <c r="K35" s="415"/>
      <c r="L35" s="415"/>
    </row>
    <row r="36" spans="1:12" ht="15" hidden="1" customHeight="1" x14ac:dyDescent="0.25">
      <c r="A36" s="420"/>
      <c r="B36" s="589"/>
      <c r="C36" s="432" t="s">
        <v>847</v>
      </c>
      <c r="D36" s="415"/>
      <c r="E36" s="415"/>
      <c r="F36" s="461">
        <f>ROUND(IF(F35/3&gt;15000,15000,F35/3),0)</f>
        <v>0</v>
      </c>
      <c r="G36" s="447">
        <f>F35-F36</f>
        <v>0</v>
      </c>
      <c r="H36" s="482"/>
      <c r="I36" s="536"/>
      <c r="J36" s="471"/>
      <c r="K36" s="415"/>
      <c r="L36" s="415"/>
    </row>
    <row r="37" spans="1:12" ht="15" hidden="1" customHeight="1" x14ac:dyDescent="0.25">
      <c r="A37" s="420"/>
      <c r="B37" s="589"/>
      <c r="C37" s="415"/>
      <c r="D37" s="415"/>
      <c r="E37" s="415"/>
      <c r="F37" s="415"/>
      <c r="G37" s="480">
        <f>SUM(G33:G36)</f>
        <v>0</v>
      </c>
      <c r="H37" s="484"/>
      <c r="J37" s="472"/>
      <c r="K37" s="415"/>
      <c r="L37" s="415"/>
    </row>
    <row r="38" spans="1:12" ht="15" customHeight="1" x14ac:dyDescent="0.25">
      <c r="A38" s="420"/>
      <c r="B38" s="589"/>
      <c r="C38" s="415"/>
      <c r="D38" s="415"/>
      <c r="E38" s="415"/>
      <c r="F38" s="415"/>
      <c r="G38" s="437"/>
      <c r="H38" s="482">
        <f>G31+G37</f>
        <v>585000</v>
      </c>
      <c r="I38" s="537">
        <f>IF(H38&lt;&gt;0,0,"NIL")</f>
        <v>0</v>
      </c>
      <c r="J38" s="472"/>
      <c r="K38" s="415"/>
      <c r="L38" s="415"/>
    </row>
    <row r="39" spans="1:12" ht="15" hidden="1" customHeight="1" x14ac:dyDescent="0.3">
      <c r="A39" s="420"/>
      <c r="B39" s="589"/>
      <c r="C39" s="439" t="s">
        <v>564</v>
      </c>
      <c r="D39" s="436"/>
      <c r="E39" s="436"/>
      <c r="F39" s="440"/>
      <c r="G39" s="437"/>
      <c r="H39" s="484"/>
      <c r="J39" s="472"/>
      <c r="K39" s="415"/>
      <c r="L39" s="415"/>
    </row>
    <row r="40" spans="1:12" ht="12.75" hidden="1" customHeight="1" x14ac:dyDescent="0.25">
      <c r="A40" s="420"/>
      <c r="B40" s="421"/>
      <c r="C40" s="409" t="s">
        <v>851</v>
      </c>
      <c r="D40" s="436"/>
      <c r="E40" s="441"/>
      <c r="F40" s="442"/>
      <c r="G40" s="430"/>
      <c r="H40" s="482"/>
      <c r="I40" s="536"/>
      <c r="J40" s="471"/>
      <c r="K40" s="415"/>
      <c r="L40" s="415"/>
    </row>
    <row r="41" spans="1:12" ht="12.75" hidden="1" customHeight="1" x14ac:dyDescent="0.25">
      <c r="A41" s="420"/>
      <c r="B41" s="421"/>
      <c r="C41" s="409" t="s">
        <v>981</v>
      </c>
      <c r="D41" s="436"/>
      <c r="E41" s="441"/>
      <c r="F41" s="442"/>
      <c r="G41" s="430"/>
      <c r="H41" s="482"/>
      <c r="I41" s="536"/>
      <c r="J41" s="471"/>
      <c r="K41" s="415"/>
      <c r="L41" s="415"/>
    </row>
    <row r="42" spans="1:12" ht="12.75" hidden="1" customHeight="1" x14ac:dyDescent="0.25">
      <c r="A42" s="420"/>
      <c r="B42" s="421"/>
      <c r="C42" s="409" t="s">
        <v>982</v>
      </c>
      <c r="D42" s="436"/>
      <c r="E42" s="441"/>
      <c r="F42" s="442"/>
      <c r="G42" s="430"/>
      <c r="H42" s="482"/>
      <c r="I42" s="536"/>
      <c r="J42" s="471"/>
      <c r="K42" s="415"/>
      <c r="L42" s="415"/>
    </row>
    <row r="43" spans="1:12" ht="12.75" hidden="1" customHeight="1" x14ac:dyDescent="0.25">
      <c r="A43" s="420"/>
      <c r="B43" s="421"/>
      <c r="C43" s="409" t="s">
        <v>983</v>
      </c>
      <c r="D43" s="436"/>
      <c r="E43" s="415"/>
      <c r="F43" s="442"/>
      <c r="G43" s="430"/>
      <c r="H43" s="482"/>
      <c r="I43" s="536"/>
      <c r="J43" s="471"/>
      <c r="K43" s="415"/>
      <c r="L43" s="415"/>
    </row>
    <row r="44" spans="1:12" ht="12.75" hidden="1" customHeight="1" thickBot="1" x14ac:dyDescent="0.3">
      <c r="A44" s="420"/>
      <c r="B44" s="428"/>
      <c r="C44" s="435"/>
      <c r="D44" s="436"/>
      <c r="E44" s="415"/>
      <c r="F44" s="443">
        <f>SUM(F40:F43)</f>
        <v>0</v>
      </c>
      <c r="G44" s="437"/>
      <c r="H44" s="484"/>
      <c r="J44" s="471"/>
      <c r="K44" s="415"/>
      <c r="L44" s="415"/>
    </row>
    <row r="45" spans="1:12" ht="12.75" customHeight="1" x14ac:dyDescent="0.25">
      <c r="A45" s="420"/>
      <c r="B45" s="428"/>
      <c r="C45" s="435"/>
      <c r="D45" s="436"/>
      <c r="E45" s="415"/>
      <c r="F45" s="444"/>
      <c r="G45" s="437"/>
      <c r="H45" s="484"/>
      <c r="I45" s="538"/>
      <c r="J45" s="534"/>
      <c r="K45" s="415"/>
      <c r="L45" s="415"/>
    </row>
    <row r="46" spans="1:12" ht="15" customHeight="1" x14ac:dyDescent="0.25">
      <c r="A46" s="420"/>
      <c r="B46" s="421" t="s">
        <v>501</v>
      </c>
      <c r="C46" s="415"/>
      <c r="D46" s="415"/>
      <c r="E46" s="428"/>
      <c r="F46" s="428"/>
      <c r="G46" s="424"/>
      <c r="H46" s="485">
        <f>SUM(H6:H44)</f>
        <v>19724000</v>
      </c>
      <c r="I46" s="537">
        <f>IF(H46&lt;&gt;0,0,"NIL")</f>
        <v>0</v>
      </c>
      <c r="J46" s="472"/>
      <c r="K46" s="415"/>
      <c r="L46" s="415"/>
    </row>
    <row r="47" spans="1:12" ht="15" customHeight="1" x14ac:dyDescent="0.25">
      <c r="A47" s="420"/>
      <c r="B47" s="445" t="s">
        <v>999</v>
      </c>
      <c r="C47" s="415"/>
      <c r="D47" s="415"/>
      <c r="E47" s="415"/>
      <c r="F47" s="415"/>
      <c r="G47" s="415"/>
      <c r="H47" s="482"/>
      <c r="I47" s="536"/>
      <c r="J47" s="471"/>
      <c r="K47" s="415"/>
      <c r="L47" s="415"/>
    </row>
    <row r="48" spans="1:12" ht="12.75" customHeight="1" x14ac:dyDescent="0.25">
      <c r="A48" s="420"/>
      <c r="B48" s="446"/>
      <c r="C48" s="435" t="s">
        <v>1080</v>
      </c>
      <c r="D48" s="415"/>
      <c r="E48" s="415"/>
      <c r="F48" s="415"/>
      <c r="G48" s="423"/>
      <c r="H48" s="482"/>
      <c r="I48" s="536"/>
      <c r="J48" s="471"/>
      <c r="K48" s="415"/>
      <c r="L48" s="415"/>
    </row>
    <row r="49" spans="1:12" ht="12.75" hidden="1" customHeight="1" x14ac:dyDescent="0.25">
      <c r="A49" s="420"/>
      <c r="B49" s="446"/>
      <c r="C49" s="431" t="s">
        <v>510</v>
      </c>
      <c r="D49" s="415"/>
      <c r="E49" s="415"/>
      <c r="F49" s="411"/>
      <c r="G49" s="423"/>
      <c r="H49" s="482"/>
      <c r="I49" s="536"/>
      <c r="J49" s="471"/>
      <c r="K49" s="415"/>
      <c r="L49" s="415"/>
    </row>
    <row r="50" spans="1:12" ht="12.75" hidden="1" customHeight="1" x14ac:dyDescent="0.25">
      <c r="A50" s="420"/>
      <c r="B50" s="446"/>
      <c r="C50" s="431" t="s">
        <v>1081</v>
      </c>
      <c r="D50" s="415"/>
      <c r="E50" s="415"/>
      <c r="F50" s="411"/>
      <c r="G50" s="423"/>
      <c r="H50" s="482"/>
      <c r="I50" s="536"/>
      <c r="J50" s="471"/>
      <c r="K50" s="415"/>
      <c r="L50" s="415"/>
    </row>
    <row r="51" spans="1:12" ht="12.75" hidden="1" customHeight="1" x14ac:dyDescent="0.25">
      <c r="A51" s="420"/>
      <c r="B51" s="446"/>
      <c r="C51" s="431" t="s">
        <v>985</v>
      </c>
      <c r="D51" s="415"/>
      <c r="E51" s="415"/>
      <c r="F51" s="411"/>
      <c r="G51" s="423"/>
      <c r="H51" s="482"/>
      <c r="I51" s="536"/>
      <c r="J51" s="471"/>
      <c r="K51" s="415"/>
      <c r="L51" s="415"/>
    </row>
    <row r="52" spans="1:12" ht="12.75" hidden="1" customHeight="1" x14ac:dyDescent="0.25">
      <c r="A52" s="420"/>
      <c r="B52" s="446"/>
      <c r="C52" s="431" t="s">
        <v>984</v>
      </c>
      <c r="D52" s="415"/>
      <c r="E52" s="415"/>
      <c r="F52" s="411"/>
      <c r="G52" s="423"/>
      <c r="H52" s="482"/>
      <c r="I52" s="536"/>
      <c r="J52" s="471"/>
      <c r="K52" s="415"/>
      <c r="L52" s="415"/>
    </row>
    <row r="53" spans="1:12" ht="12.75" customHeight="1" x14ac:dyDescent="0.25">
      <c r="A53" s="420"/>
      <c r="B53" s="446"/>
      <c r="C53" s="431" t="s">
        <v>1149</v>
      </c>
      <c r="D53" s="415"/>
      <c r="E53" s="415"/>
      <c r="F53" s="411">
        <v>20000</v>
      </c>
      <c r="G53" s="423"/>
      <c r="H53" s="482"/>
      <c r="I53" s="536"/>
      <c r="J53" s="471"/>
      <c r="K53" s="415"/>
      <c r="L53" s="415"/>
    </row>
    <row r="54" spans="1:12" ht="12.75" customHeight="1" x14ac:dyDescent="0.25">
      <c r="A54" s="420"/>
      <c r="B54" s="446"/>
      <c r="C54" s="431" t="s">
        <v>509</v>
      </c>
      <c r="D54" s="415"/>
      <c r="E54" s="415"/>
      <c r="F54" s="411">
        <v>150000</v>
      </c>
      <c r="G54" s="423"/>
      <c r="H54" s="482"/>
      <c r="I54" s="536"/>
      <c r="J54" s="471"/>
      <c r="K54" s="415"/>
      <c r="L54" s="415"/>
    </row>
    <row r="55" spans="1:12" ht="12.75" hidden="1" customHeight="1" x14ac:dyDescent="0.25">
      <c r="A55" s="420"/>
      <c r="B55" s="446"/>
      <c r="C55" s="431" t="s">
        <v>986</v>
      </c>
      <c r="D55" s="415"/>
      <c r="E55" s="415"/>
      <c r="F55" s="411"/>
      <c r="G55" s="423"/>
      <c r="H55" s="482"/>
      <c r="I55" s="536"/>
      <c r="J55" s="471"/>
      <c r="K55" s="415"/>
      <c r="L55" s="415"/>
    </row>
    <row r="56" spans="1:12" ht="12.75" hidden="1" customHeight="1" x14ac:dyDescent="0.25">
      <c r="A56" s="420"/>
      <c r="B56" s="446"/>
      <c r="C56" s="431" t="s">
        <v>987</v>
      </c>
      <c r="D56" s="415"/>
      <c r="E56" s="415"/>
      <c r="F56" s="411"/>
      <c r="G56" s="423"/>
      <c r="H56" s="482"/>
      <c r="I56" s="536"/>
      <c r="J56" s="471"/>
      <c r="K56" s="415"/>
      <c r="L56" s="415"/>
    </row>
    <row r="57" spans="1:12" ht="12.75" hidden="1" customHeight="1" x14ac:dyDescent="0.25">
      <c r="A57" s="420"/>
      <c r="B57" s="446"/>
      <c r="C57" s="431" t="s">
        <v>988</v>
      </c>
      <c r="D57" s="415"/>
      <c r="E57" s="415"/>
      <c r="F57" s="411"/>
      <c r="G57" s="423"/>
      <c r="H57" s="482"/>
      <c r="I57" s="536"/>
      <c r="J57" s="471"/>
      <c r="K57" s="415"/>
      <c r="L57" s="415"/>
    </row>
    <row r="58" spans="1:12" ht="12.75" hidden="1" customHeight="1" x14ac:dyDescent="0.25">
      <c r="A58" s="420"/>
      <c r="B58" s="446"/>
      <c r="C58" s="431" t="s">
        <v>989</v>
      </c>
      <c r="D58" s="415"/>
      <c r="E58" s="415"/>
      <c r="F58" s="411"/>
      <c r="G58" s="423"/>
      <c r="H58" s="482"/>
      <c r="I58" s="536"/>
      <c r="J58" s="471"/>
      <c r="K58" s="415"/>
      <c r="L58" s="415"/>
    </row>
    <row r="59" spans="1:12" ht="12.75" hidden="1" customHeight="1" x14ac:dyDescent="0.25">
      <c r="A59" s="420"/>
      <c r="B59" s="446"/>
      <c r="C59" s="431"/>
      <c r="D59" s="415"/>
      <c r="E59" s="415"/>
      <c r="F59" s="411"/>
      <c r="G59" s="423"/>
      <c r="H59" s="482"/>
      <c r="I59" s="536"/>
      <c r="J59" s="471"/>
      <c r="K59" s="415"/>
      <c r="L59" s="415"/>
    </row>
    <row r="60" spans="1:12" ht="15" customHeight="1" x14ac:dyDescent="0.25">
      <c r="A60" s="420"/>
      <c r="B60" s="446"/>
      <c r="C60" s="431"/>
      <c r="D60" s="415"/>
      <c r="E60" s="415"/>
      <c r="F60" s="448">
        <f>SUM(F49:F59)</f>
        <v>170000</v>
      </c>
      <c r="G60" s="415">
        <f>IF(F60&gt;150000,150000,F60)</f>
        <v>150000</v>
      </c>
      <c r="H60" s="482"/>
      <c r="I60" s="536"/>
      <c r="J60" s="471"/>
      <c r="K60" s="415"/>
      <c r="L60" s="415"/>
    </row>
    <row r="61" spans="1:12" ht="15" customHeight="1" x14ac:dyDescent="0.25">
      <c r="A61" s="420"/>
      <c r="B61" s="446"/>
      <c r="C61" s="449" t="s">
        <v>1079</v>
      </c>
      <c r="D61" s="415"/>
      <c r="E61" s="415" t="s">
        <v>1149</v>
      </c>
      <c r="F61" s="450"/>
      <c r="G61" s="411">
        <v>50000</v>
      </c>
      <c r="H61" s="482"/>
      <c r="I61" s="536"/>
      <c r="J61" s="471"/>
      <c r="K61" s="415"/>
      <c r="L61" s="415"/>
    </row>
    <row r="62" spans="1:12" ht="15" hidden="1" customHeight="1" x14ac:dyDescent="0.25">
      <c r="A62" s="420"/>
      <c r="B62" s="446"/>
      <c r="C62" s="449" t="s">
        <v>1078</v>
      </c>
      <c r="D62" s="415"/>
      <c r="E62" s="415"/>
      <c r="F62" s="450"/>
      <c r="G62" s="411"/>
      <c r="H62" s="482"/>
      <c r="I62" s="536"/>
      <c r="J62" s="471"/>
      <c r="K62" s="415"/>
      <c r="L62" s="415"/>
    </row>
    <row r="63" spans="1:12" ht="15" customHeight="1" x14ac:dyDescent="0.25">
      <c r="A63" s="420"/>
      <c r="B63" s="446"/>
      <c r="C63" s="449" t="s">
        <v>852</v>
      </c>
      <c r="D63" s="415"/>
      <c r="E63" s="431" t="s">
        <v>1150</v>
      </c>
      <c r="F63" s="450"/>
      <c r="G63" s="411">
        <f>28000+14000</f>
        <v>42000</v>
      </c>
      <c r="H63" s="482"/>
      <c r="I63" s="536"/>
      <c r="J63" s="471"/>
      <c r="K63" s="415"/>
      <c r="L63" s="415"/>
    </row>
    <row r="64" spans="1:12" ht="15" hidden="1" customHeight="1" x14ac:dyDescent="0.25">
      <c r="A64" s="420"/>
      <c r="B64" s="446"/>
      <c r="C64" s="449" t="s">
        <v>611</v>
      </c>
      <c r="D64" s="415"/>
      <c r="E64" s="415"/>
      <c r="F64" s="415"/>
      <c r="G64" s="411"/>
      <c r="H64" s="482"/>
      <c r="I64" s="536"/>
      <c r="J64" s="471"/>
      <c r="K64" s="415"/>
      <c r="L64" s="415"/>
    </row>
    <row r="65" spans="1:12" ht="15" customHeight="1" x14ac:dyDescent="0.25">
      <c r="A65" s="420"/>
      <c r="B65" s="415"/>
      <c r="C65" s="449" t="s">
        <v>979</v>
      </c>
      <c r="D65" s="415"/>
      <c r="E65" s="428"/>
      <c r="F65" s="428"/>
      <c r="G65" s="447">
        <f>IF(G28&gt;10000, 10000, G28)</f>
        <v>10000</v>
      </c>
      <c r="H65" s="482"/>
      <c r="I65" s="536"/>
      <c r="J65" s="471"/>
      <c r="K65" s="415"/>
      <c r="L65" s="415"/>
    </row>
    <row r="66" spans="1:12" x14ac:dyDescent="0.25">
      <c r="A66" s="420"/>
      <c r="B66" s="415"/>
      <c r="C66" s="543" t="s">
        <v>853</v>
      </c>
      <c r="D66" s="415"/>
      <c r="E66" s="428"/>
      <c r="F66" s="428"/>
      <c r="G66" s="411"/>
      <c r="H66" s="482">
        <f>SUM(G60:G66)</f>
        <v>252000</v>
      </c>
      <c r="I66" s="537">
        <f>IF(H66&lt;&gt;0,0,"NIL")</f>
        <v>0</v>
      </c>
      <c r="J66" s="472"/>
      <c r="K66" s="415"/>
      <c r="L66" s="415"/>
    </row>
    <row r="67" spans="1:12" ht="15.75" customHeight="1" thickBot="1" x14ac:dyDescent="0.3">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x14ac:dyDescent="0.25">
      <c r="A68" s="420"/>
      <c r="B68" s="450" t="s">
        <v>778</v>
      </c>
      <c r="C68" s="415"/>
      <c r="D68" s="415"/>
      <c r="E68" s="444" t="s">
        <v>521</v>
      </c>
      <c r="F68" s="454" t="s">
        <v>522</v>
      </c>
      <c r="G68" s="444" t="s">
        <v>524</v>
      </c>
      <c r="H68" s="487"/>
      <c r="J68" s="471"/>
      <c r="K68" s="415"/>
      <c r="L68" s="415"/>
    </row>
    <row r="69" spans="1:12" ht="15" customHeight="1" x14ac:dyDescent="0.25">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x14ac:dyDescent="0.25">
      <c r="A70" s="420"/>
      <c r="B70" s="450"/>
      <c r="C70" s="408" t="s">
        <v>519</v>
      </c>
      <c r="D70" s="415"/>
      <c r="E70" s="410"/>
      <c r="F70" s="457">
        <v>0.15</v>
      </c>
      <c r="G70" s="523"/>
      <c r="H70" s="484"/>
      <c r="J70" s="471"/>
      <c r="K70" s="415"/>
      <c r="L70" s="415"/>
    </row>
    <row r="71" spans="1:12" ht="15" hidden="1" customHeight="1" x14ac:dyDescent="0.25">
      <c r="A71" s="420"/>
      <c r="B71" s="415"/>
      <c r="C71" s="415"/>
      <c r="D71" s="456"/>
      <c r="E71" s="428"/>
      <c r="F71" s="415"/>
      <c r="G71" s="526">
        <f>G69+G70</f>
        <v>5666600</v>
      </c>
      <c r="H71" s="488"/>
      <c r="I71" s="537"/>
      <c r="J71" s="472"/>
      <c r="K71" s="415"/>
      <c r="L71" s="415"/>
    </row>
    <row r="72" spans="1:12" ht="15" customHeight="1" x14ac:dyDescent="0.25">
      <c r="A72" s="420"/>
      <c r="B72" s="415"/>
      <c r="C72" s="408" t="s">
        <v>1151</v>
      </c>
      <c r="D72" s="456"/>
      <c r="E72" s="428"/>
      <c r="F72" s="415"/>
      <c r="G72" s="526">
        <f>G69*0.12</f>
        <v>679992</v>
      </c>
      <c r="H72" s="488"/>
      <c r="I72" s="537"/>
      <c r="J72" s="472"/>
      <c r="K72" s="415"/>
      <c r="L72" s="415"/>
    </row>
    <row r="73" spans="1:12" ht="15" customHeight="1" x14ac:dyDescent="0.25">
      <c r="A73" s="420"/>
      <c r="C73" s="524"/>
      <c r="D73" s="456"/>
      <c r="E73" s="428"/>
      <c r="F73" s="415"/>
      <c r="G73" s="527">
        <f>IF(H67&gt;500000,0,IF(G71&gt;2000,2000,G71))</f>
        <v>0</v>
      </c>
      <c r="H73" s="489">
        <f>G71-G73+G72</f>
        <v>6346592</v>
      </c>
      <c r="I73" s="537">
        <f>IF(H73&lt;&gt;0,0,"NIL")</f>
        <v>0</v>
      </c>
      <c r="J73" s="472"/>
      <c r="K73" s="415"/>
      <c r="L73" s="415"/>
    </row>
    <row r="74" spans="1:12" ht="15" customHeight="1" x14ac:dyDescent="0.25">
      <c r="A74" s="420"/>
      <c r="B74" s="408" t="s">
        <v>774</v>
      </c>
      <c r="C74" s="415"/>
      <c r="D74" s="456"/>
      <c r="E74" s="428"/>
      <c r="F74" s="415"/>
      <c r="G74" s="428"/>
      <c r="H74" s="489">
        <f>ROUND((H73)*0.02,0)</f>
        <v>126932</v>
      </c>
      <c r="I74" s="537">
        <f>IF(H74&lt;&gt;0,0,"NIL")</f>
        <v>0</v>
      </c>
      <c r="J74" s="472"/>
      <c r="K74" s="415"/>
      <c r="L74" s="415"/>
    </row>
    <row r="75" spans="1:12" ht="15" customHeight="1" x14ac:dyDescent="0.25">
      <c r="A75" s="420"/>
      <c r="B75" s="408" t="s">
        <v>775</v>
      </c>
      <c r="C75" s="415"/>
      <c r="D75" s="456"/>
      <c r="E75" s="458"/>
      <c r="F75" s="415"/>
      <c r="G75" s="428"/>
      <c r="H75" s="528">
        <f>ROUND((H73)*0.01,0)</f>
        <v>63466</v>
      </c>
      <c r="I75" s="540">
        <f>IF(H75&lt;&gt;0,0,"NIL")</f>
        <v>0</v>
      </c>
      <c r="J75" s="474"/>
      <c r="K75" s="423"/>
      <c r="L75" s="423"/>
    </row>
    <row r="76" spans="1:12" ht="15" customHeight="1" x14ac:dyDescent="0.25">
      <c r="A76" s="420"/>
      <c r="B76" s="450" t="s">
        <v>565</v>
      </c>
      <c r="C76" s="415"/>
      <c r="D76" s="456"/>
      <c r="E76" s="458"/>
      <c r="F76" s="415"/>
      <c r="G76" s="428"/>
      <c r="H76" s="488">
        <f>SUM(H73:H75)</f>
        <v>6536990</v>
      </c>
      <c r="I76" s="537"/>
      <c r="J76" s="472"/>
      <c r="K76" s="423"/>
      <c r="L76" s="423"/>
    </row>
    <row r="77" spans="1:12" ht="15" hidden="1" customHeight="1" x14ac:dyDescent="0.25">
      <c r="A77" s="420"/>
      <c r="B77" s="427"/>
      <c r="C77" s="428"/>
      <c r="D77" s="428"/>
      <c r="E77" s="428"/>
      <c r="F77" s="428"/>
      <c r="G77" s="428"/>
      <c r="H77" s="528"/>
      <c r="I77" s="540"/>
      <c r="J77" s="473"/>
      <c r="K77" s="423"/>
      <c r="L77" s="427"/>
    </row>
    <row r="78" spans="1:12" ht="15" hidden="1" customHeight="1" x14ac:dyDescent="0.25">
      <c r="A78" s="420"/>
      <c r="B78" s="450"/>
      <c r="C78" s="428"/>
      <c r="D78" s="428"/>
      <c r="E78" s="428"/>
      <c r="F78" s="428"/>
      <c r="G78" s="428"/>
      <c r="H78" s="491">
        <f>H76+H77</f>
        <v>6536990</v>
      </c>
      <c r="I78" s="537"/>
      <c r="J78" s="472"/>
      <c r="K78" s="415"/>
      <c r="L78" s="415"/>
    </row>
    <row r="79" spans="1:12" ht="15" hidden="1" customHeight="1" x14ac:dyDescent="0.25">
      <c r="A79" s="420"/>
      <c r="B79" s="652" t="s">
        <v>523</v>
      </c>
      <c r="C79" s="428"/>
      <c r="D79" s="428"/>
      <c r="E79" s="428"/>
      <c r="F79" s="428"/>
      <c r="G79" s="428"/>
      <c r="H79" s="492">
        <v>0</v>
      </c>
      <c r="I79" s="540" t="str">
        <f>IF(H79&lt;&gt;0,0,"NIL")</f>
        <v>NIL</v>
      </c>
      <c r="J79" s="473"/>
      <c r="K79" s="415"/>
      <c r="L79" s="415"/>
    </row>
    <row r="80" spans="1:12" ht="15" hidden="1" customHeight="1" x14ac:dyDescent="0.25">
      <c r="A80" s="420"/>
      <c r="B80" s="450" t="s">
        <v>768</v>
      </c>
      <c r="C80" s="428"/>
      <c r="D80" s="428"/>
      <c r="E80" s="428"/>
      <c r="F80" s="428"/>
      <c r="G80" s="428"/>
      <c r="H80" s="490">
        <f>H78+H79</f>
        <v>6536990</v>
      </c>
      <c r="I80" s="537">
        <f>IF(H80&lt;&gt;0,0,"NIL")</f>
        <v>0</v>
      </c>
      <c r="J80" s="472"/>
      <c r="K80" s="415"/>
      <c r="L80" s="415"/>
    </row>
    <row r="81" spans="1:16" ht="15" customHeight="1" x14ac:dyDescent="0.25">
      <c r="A81" s="420"/>
      <c r="B81" s="421" t="s">
        <v>571</v>
      </c>
      <c r="C81" s="428"/>
      <c r="D81" s="428"/>
      <c r="E81" s="428"/>
      <c r="F81" s="428"/>
      <c r="G81" s="428"/>
      <c r="H81" s="490"/>
      <c r="I81" s="537"/>
      <c r="J81" s="471"/>
      <c r="K81" s="415"/>
      <c r="L81" s="415"/>
    </row>
    <row r="82" spans="1:16" ht="15" hidden="1" customHeight="1" x14ac:dyDescent="0.3">
      <c r="A82" s="420"/>
      <c r="B82" s="415"/>
      <c r="C82" s="1340" t="s">
        <v>993</v>
      </c>
      <c r="D82" s="1340"/>
      <c r="E82" s="1340"/>
      <c r="F82" s="1340"/>
      <c r="G82" s="447"/>
      <c r="H82" s="482"/>
      <c r="I82" s="536"/>
      <c r="J82" s="472"/>
      <c r="K82" s="415"/>
      <c r="L82" s="415"/>
    </row>
    <row r="83" spans="1:16" ht="15" customHeight="1" x14ac:dyDescent="0.3">
      <c r="A83" s="420"/>
      <c r="B83" s="588">
        <f>SUM(G82:G85)</f>
        <v>6347000</v>
      </c>
      <c r="C83" s="1340" t="s">
        <v>1152</v>
      </c>
      <c r="D83" s="1340"/>
      <c r="E83" s="1340"/>
      <c r="F83" s="1340"/>
      <c r="G83" s="410">
        <v>6317000</v>
      </c>
      <c r="H83" s="482"/>
      <c r="I83" s="536"/>
      <c r="J83" s="472"/>
      <c r="K83" s="415"/>
      <c r="L83" s="415"/>
    </row>
    <row r="84" spans="1:16" ht="12.75" hidden="1" customHeight="1" x14ac:dyDescent="0.3">
      <c r="A84" s="420"/>
      <c r="B84" s="459"/>
      <c r="C84" s="1340"/>
      <c r="D84" s="1340"/>
      <c r="E84" s="1340"/>
      <c r="F84" s="1340"/>
      <c r="G84" s="410"/>
      <c r="H84" s="482"/>
      <c r="I84" s="536"/>
      <c r="J84" s="472"/>
      <c r="K84" s="415"/>
      <c r="L84" s="415"/>
    </row>
    <row r="85" spans="1:16" ht="12.75" customHeight="1" x14ac:dyDescent="0.3">
      <c r="A85" s="420"/>
      <c r="B85" s="459"/>
      <c r="C85" s="1340" t="s">
        <v>1153</v>
      </c>
      <c r="D85" s="1340"/>
      <c r="E85" s="1340"/>
      <c r="F85" s="1340"/>
      <c r="G85" s="410">
        <v>30000</v>
      </c>
      <c r="H85" s="482"/>
      <c r="I85" s="536"/>
      <c r="J85" s="472"/>
      <c r="K85" s="415"/>
      <c r="L85" s="408"/>
    </row>
    <row r="86" spans="1:16" ht="12.75" customHeight="1" thickBot="1" x14ac:dyDescent="0.35">
      <c r="A86" s="414"/>
      <c r="B86" s="477"/>
      <c r="C86" s="1342" t="s">
        <v>1154</v>
      </c>
      <c r="D86" s="1342"/>
      <c r="E86" s="1342"/>
      <c r="F86" s="1342"/>
      <c r="G86" s="481">
        <f>IF(H80-SUM(G82:G85)&gt;0,(H80-SUM(G82:G85)),0)</f>
        <v>189990</v>
      </c>
      <c r="H86" s="493">
        <f>SUM(G82:G86)</f>
        <v>6536990</v>
      </c>
      <c r="I86" s="541">
        <f>IF(H86&lt;&gt;0,0,"NIL")</f>
        <v>0</v>
      </c>
      <c r="J86" s="478"/>
      <c r="K86" s="415"/>
      <c r="L86" s="408"/>
    </row>
    <row r="87" spans="1:16" ht="18" customHeight="1" thickBot="1" x14ac:dyDescent="0.3">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x14ac:dyDescent="0.25">
      <c r="A88" s="567"/>
      <c r="B88" s="570"/>
      <c r="C88" s="570"/>
      <c r="D88" s="570"/>
      <c r="E88" s="570"/>
      <c r="F88" s="570"/>
      <c r="G88" s="570"/>
      <c r="H88" s="570"/>
      <c r="I88" s="568"/>
      <c r="J88" s="569"/>
      <c r="K88" s="415"/>
      <c r="L88" s="408"/>
      <c r="M88" s="554"/>
      <c r="N88" s="554"/>
      <c r="O88" s="554"/>
      <c r="P88" s="554"/>
    </row>
    <row r="89" spans="1:16" x14ac:dyDescent="0.25">
      <c r="A89" s="567"/>
      <c r="B89" s="554"/>
      <c r="C89" s="554"/>
      <c r="D89" s="554"/>
      <c r="E89" s="554"/>
      <c r="F89" s="554"/>
      <c r="G89" s="554"/>
      <c r="H89" s="554"/>
      <c r="I89" s="568"/>
      <c r="J89" s="569"/>
      <c r="K89" s="415"/>
      <c r="L89" s="408"/>
      <c r="M89" s="554"/>
      <c r="N89" s="554"/>
      <c r="O89" s="554"/>
      <c r="P89" s="554"/>
    </row>
    <row r="90" spans="1:16" x14ac:dyDescent="0.25">
      <c r="A90" s="567"/>
      <c r="B90" s="554"/>
      <c r="C90" s="554"/>
      <c r="D90" s="554"/>
      <c r="E90" s="554"/>
      <c r="F90" s="554"/>
      <c r="G90" s="554"/>
      <c r="H90" s="554"/>
      <c r="I90" s="568"/>
      <c r="J90" s="569"/>
      <c r="K90" s="415"/>
      <c r="L90" s="408"/>
      <c r="M90" s="554"/>
      <c r="N90" s="554"/>
      <c r="O90" s="554"/>
      <c r="P90" s="554"/>
    </row>
    <row r="91" spans="1:16" x14ac:dyDescent="0.25">
      <c r="A91" s="567"/>
      <c r="B91" s="554"/>
      <c r="C91" s="554"/>
      <c r="D91" s="554"/>
      <c r="E91" s="554"/>
      <c r="F91" s="554"/>
      <c r="G91" s="554"/>
      <c r="H91" s="554"/>
      <c r="I91" s="568"/>
      <c r="J91" s="569"/>
      <c r="K91" s="415"/>
      <c r="L91" s="408"/>
      <c r="M91" s="554"/>
      <c r="N91" s="554"/>
      <c r="O91" s="554"/>
      <c r="P91" s="554"/>
    </row>
    <row r="92" spans="1:16" x14ac:dyDescent="0.25">
      <c r="A92" s="567"/>
      <c r="B92" s="554"/>
      <c r="C92" s="554"/>
      <c r="D92" s="554"/>
      <c r="E92" s="554"/>
      <c r="F92" s="554"/>
      <c r="G92" s="554"/>
      <c r="H92" s="554"/>
      <c r="I92" s="568"/>
      <c r="J92" s="569"/>
      <c r="K92" s="415"/>
      <c r="L92" s="408"/>
      <c r="M92" s="554"/>
      <c r="N92" s="554"/>
      <c r="O92" s="554"/>
      <c r="P92" s="554"/>
    </row>
    <row r="93" spans="1:16" x14ac:dyDescent="0.25">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xr:uid="{00000000-0002-0000-0600-000000000000}">
      <formula1>"ICICI PRUDENTIAL PREM, BAJAJ ALLIANZ LIFE INSURANCE PREM., LIC  PREMIUM, ULIP PREMIUM"</formula1>
    </dataValidation>
    <dataValidation type="list" errorStyle="information" allowBlank="1" showInputMessage="1" showErrorMessage="1" sqref="D4" xr:uid="{00000000-0002-0000-06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2" s="413" customFormat="1" ht="18.75" customHeight="1" x14ac:dyDescent="0.25">
      <c r="A1" s="1333" t="s">
        <v>1083</v>
      </c>
      <c r="B1" s="1334"/>
      <c r="C1" s="1334"/>
      <c r="D1" s="1334"/>
      <c r="E1" s="1334"/>
      <c r="F1" s="1334"/>
      <c r="G1" s="1334"/>
      <c r="H1" s="1334"/>
      <c r="I1" s="1334"/>
      <c r="J1" s="1335"/>
      <c r="K1" s="412"/>
      <c r="L1" s="412"/>
    </row>
    <row r="2" spans="1:12" ht="18" customHeight="1" thickBot="1" x14ac:dyDescent="0.3">
      <c r="A2" s="1336" t="s">
        <v>562</v>
      </c>
      <c r="B2" s="1337"/>
      <c r="C2" s="1337"/>
      <c r="D2" s="1337"/>
      <c r="E2" s="1337"/>
      <c r="F2" s="1337"/>
      <c r="G2" s="1337"/>
      <c r="H2" s="1337"/>
      <c r="I2" s="1337"/>
      <c r="J2" s="1338"/>
      <c r="K2" s="415"/>
      <c r="L2" s="415"/>
    </row>
    <row r="3" spans="1:12" ht="20.100000000000001" customHeight="1" x14ac:dyDescent="0.25">
      <c r="A3" s="417"/>
      <c r="B3" s="418" t="s">
        <v>994</v>
      </c>
      <c r="C3" s="419"/>
      <c r="D3" s="419"/>
      <c r="E3" s="419"/>
      <c r="F3" s="419"/>
      <c r="G3" s="419"/>
      <c r="H3" s="501" t="s">
        <v>1013</v>
      </c>
      <c r="I3" s="535"/>
      <c r="J3" s="470"/>
      <c r="K3" s="415"/>
      <c r="L3" s="415"/>
    </row>
    <row r="4" spans="1:12" ht="15" customHeight="1" x14ac:dyDescent="0.25">
      <c r="A4" s="420"/>
      <c r="B4" s="421"/>
      <c r="C4" s="422" t="s">
        <v>567</v>
      </c>
      <c r="D4" s="422"/>
      <c r="E4" s="415"/>
      <c r="F4" s="423"/>
      <c r="G4" s="411">
        <v>8600000</v>
      </c>
      <c r="H4" s="482"/>
      <c r="I4" s="536"/>
      <c r="J4" s="471"/>
      <c r="K4" s="415"/>
      <c r="L4" s="415"/>
    </row>
    <row r="5" spans="1:12" ht="15" customHeight="1" x14ac:dyDescent="0.25">
      <c r="A5" s="420"/>
      <c r="B5" s="415"/>
      <c r="C5" s="408" t="s">
        <v>1157</v>
      </c>
      <c r="D5" s="415"/>
      <c r="E5" s="415"/>
      <c r="F5" s="415"/>
      <c r="G5" s="425">
        <v>3000</v>
      </c>
      <c r="H5" s="484"/>
      <c r="I5" s="537">
        <f>IF(H6&lt;&gt;0,0,"NIL")</f>
        <v>0</v>
      </c>
      <c r="J5" s="472"/>
      <c r="K5" s="415"/>
      <c r="L5" s="415"/>
    </row>
    <row r="6" spans="1:12" ht="15" customHeight="1" thickBot="1" x14ac:dyDescent="0.3">
      <c r="A6" s="420"/>
      <c r="B6" s="415"/>
      <c r="C6" s="408"/>
      <c r="D6" s="415"/>
      <c r="E6" s="415"/>
      <c r="F6" s="415"/>
      <c r="G6" s="662">
        <f>G4+G5</f>
        <v>8603000</v>
      </c>
      <c r="H6" s="482">
        <f>+G6</f>
        <v>8603000</v>
      </c>
      <c r="I6" s="537"/>
      <c r="J6" s="472"/>
      <c r="K6" s="415"/>
      <c r="L6" s="415"/>
    </row>
    <row r="7" spans="1:12" ht="15" customHeight="1" thickTop="1" x14ac:dyDescent="0.25">
      <c r="A7" s="420"/>
      <c r="B7" s="426" t="s">
        <v>995</v>
      </c>
      <c r="C7" s="415"/>
      <c r="D7" s="415"/>
      <c r="E7" s="525" t="s">
        <v>1014</v>
      </c>
      <c r="F7" s="423"/>
      <c r="G7" s="415"/>
      <c r="H7" s="482"/>
      <c r="I7" s="537"/>
      <c r="J7" s="472"/>
      <c r="K7" s="415"/>
      <c r="L7" s="415"/>
    </row>
    <row r="8" spans="1:12" ht="15" customHeight="1" x14ac:dyDescent="0.25">
      <c r="A8" s="420"/>
      <c r="B8" s="426"/>
      <c r="C8" s="583" t="s">
        <v>1127</v>
      </c>
      <c r="D8" s="422"/>
      <c r="E8" s="663"/>
      <c r="F8" s="653"/>
      <c r="G8" s="654">
        <v>800000</v>
      </c>
      <c r="H8" s="482"/>
      <c r="I8" s="537"/>
      <c r="J8" s="472"/>
      <c r="K8" s="415"/>
      <c r="L8" s="415"/>
    </row>
    <row r="9" spans="1:12" ht="15" customHeight="1" x14ac:dyDescent="0.25">
      <c r="A9" s="420"/>
      <c r="B9" s="426"/>
      <c r="C9" s="431" t="s">
        <v>769</v>
      </c>
      <c r="D9" s="422"/>
      <c r="E9" s="427"/>
      <c r="F9" s="653"/>
      <c r="G9" s="655">
        <v>10000</v>
      </c>
      <c r="H9" s="482"/>
      <c r="I9" s="537"/>
      <c r="J9" s="472"/>
      <c r="K9" s="415"/>
      <c r="L9" s="415"/>
    </row>
    <row r="10" spans="1:12" ht="15" customHeight="1" x14ac:dyDescent="0.25">
      <c r="A10" s="420"/>
      <c r="B10" s="426"/>
      <c r="C10" s="583"/>
      <c r="D10" s="422"/>
      <c r="E10" s="427"/>
      <c r="F10" s="653"/>
      <c r="G10" s="656">
        <f>G8-G9</f>
        <v>790000</v>
      </c>
      <c r="H10" s="482"/>
      <c r="I10" s="537"/>
      <c r="J10" s="472"/>
      <c r="K10" s="415"/>
      <c r="L10" s="415"/>
    </row>
    <row r="11" spans="1:12" ht="15" customHeight="1" x14ac:dyDescent="0.25">
      <c r="A11" s="420"/>
      <c r="B11" s="426"/>
      <c r="C11" s="590" t="s">
        <v>514</v>
      </c>
      <c r="D11" s="415"/>
      <c r="E11" s="408" t="s">
        <v>1093</v>
      </c>
      <c r="F11" s="408">
        <f>G10*0.3</f>
        <v>237000</v>
      </c>
      <c r="G11" s="664"/>
      <c r="H11" s="424"/>
      <c r="I11" s="537"/>
      <c r="J11" s="472"/>
      <c r="K11" s="415"/>
      <c r="L11" s="415"/>
    </row>
    <row r="12" spans="1:12" ht="15" customHeight="1" x14ac:dyDescent="0.25">
      <c r="A12" s="420"/>
      <c r="B12" s="426"/>
      <c r="D12" s="415"/>
      <c r="E12" s="408" t="s">
        <v>1147</v>
      </c>
      <c r="F12" s="657">
        <v>410000</v>
      </c>
      <c r="G12" s="658">
        <f>F11+F12</f>
        <v>647000</v>
      </c>
      <c r="H12" s="424"/>
      <c r="I12" s="537"/>
      <c r="J12" s="472"/>
      <c r="K12" s="415"/>
      <c r="L12" s="415"/>
    </row>
    <row r="13" spans="1:12" ht="15" customHeight="1" x14ac:dyDescent="0.25">
      <c r="A13" s="420"/>
      <c r="B13" s="426"/>
      <c r="D13" s="415"/>
      <c r="E13" s="415"/>
      <c r="F13" s="423"/>
      <c r="G13" s="665">
        <f>G10-G12</f>
        <v>143000</v>
      </c>
      <c r="H13" s="424"/>
      <c r="I13" s="537"/>
      <c r="J13" s="472"/>
      <c r="K13" s="415"/>
      <c r="L13" s="415"/>
    </row>
    <row r="14" spans="1:12" ht="15" customHeight="1" x14ac:dyDescent="0.25">
      <c r="A14" s="420"/>
      <c r="B14" s="426"/>
      <c r="D14" s="415" t="s">
        <v>1158</v>
      </c>
      <c r="E14" s="415"/>
      <c r="F14" s="423"/>
      <c r="G14" s="665">
        <v>90000</v>
      </c>
      <c r="H14" s="424"/>
      <c r="I14" s="537"/>
      <c r="J14" s="472"/>
      <c r="K14" s="415"/>
      <c r="L14" s="415"/>
    </row>
    <row r="15" spans="1:12" ht="15" customHeight="1" thickBot="1" x14ac:dyDescent="0.3">
      <c r="A15" s="420"/>
      <c r="B15" s="415"/>
      <c r="D15" s="415"/>
      <c r="G15" s="661">
        <f>G13-G14</f>
        <v>53000</v>
      </c>
      <c r="H15" s="482">
        <f>+G15</f>
        <v>53000</v>
      </c>
      <c r="I15" s="537">
        <f>IF(H15&lt;&gt;0,0,"NIL")</f>
        <v>0</v>
      </c>
      <c r="J15" s="472"/>
      <c r="K15" s="415"/>
      <c r="L15" s="415"/>
    </row>
    <row r="16" spans="1:12" ht="17.25" hidden="1" customHeight="1" x14ac:dyDescent="0.25">
      <c r="A16" s="420"/>
      <c r="B16" s="421" t="s">
        <v>996</v>
      </c>
      <c r="C16" s="408"/>
      <c r="D16" s="415"/>
      <c r="E16" s="429"/>
      <c r="F16" s="423"/>
      <c r="G16" s="415"/>
      <c r="H16" s="482"/>
      <c r="I16" s="537"/>
      <c r="J16" s="472"/>
      <c r="K16" s="415"/>
      <c r="L16" s="415"/>
    </row>
    <row r="17" spans="1:12" ht="15" hidden="1" customHeight="1" x14ac:dyDescent="0.25">
      <c r="A17" s="420"/>
      <c r="B17" s="415"/>
      <c r="C17" s="408" t="s">
        <v>991</v>
      </c>
      <c r="D17" s="415"/>
      <c r="E17" s="429"/>
      <c r="F17" s="423"/>
      <c r="G17" s="411"/>
      <c r="H17" s="482"/>
      <c r="I17" s="537"/>
      <c r="J17" s="472"/>
      <c r="K17" s="415"/>
      <c r="L17" s="415"/>
    </row>
    <row r="18" spans="1:12" ht="15" hidden="1" customHeight="1" x14ac:dyDescent="0.25">
      <c r="A18" s="420"/>
      <c r="B18" s="415"/>
      <c r="C18" s="408" t="s">
        <v>992</v>
      </c>
      <c r="D18" s="415"/>
      <c r="E18" s="429"/>
      <c r="F18" s="423"/>
      <c r="G18" s="479"/>
      <c r="H18" s="483">
        <f>G17-G18</f>
        <v>0</v>
      </c>
      <c r="I18" s="537" t="str">
        <f>IF(H18&lt;&gt;0,0,"NIL")</f>
        <v>NIL</v>
      </c>
      <c r="J18" s="472"/>
      <c r="K18" s="415"/>
      <c r="L18" s="415"/>
    </row>
    <row r="19" spans="1:12" ht="15" hidden="1" customHeight="1" thickTop="1" x14ac:dyDescent="0.25">
      <c r="A19" s="420"/>
      <c r="B19" s="421" t="s">
        <v>997</v>
      </c>
      <c r="C19" s="415"/>
      <c r="D19" s="415"/>
      <c r="E19" s="415"/>
      <c r="F19" s="415"/>
      <c r="G19" s="415"/>
      <c r="H19" s="482"/>
      <c r="I19" s="537"/>
      <c r="J19" s="472"/>
      <c r="K19" s="415"/>
      <c r="L19" s="415"/>
    </row>
    <row r="20" spans="1:12" ht="13.8" hidden="1" thickTop="1" x14ac:dyDescent="0.25">
      <c r="A20" s="420"/>
      <c r="B20" s="415"/>
      <c r="C20" s="408" t="s">
        <v>498</v>
      </c>
      <c r="D20" s="415"/>
      <c r="E20" s="415"/>
      <c r="F20" s="415"/>
      <c r="G20" s="411"/>
      <c r="H20" s="482"/>
      <c r="I20" s="537"/>
      <c r="J20" s="472"/>
      <c r="K20" s="415"/>
      <c r="L20" s="415"/>
    </row>
    <row r="21" spans="1:12" ht="13.8" hidden="1" thickTop="1" x14ac:dyDescent="0.25">
      <c r="A21" s="420"/>
      <c r="B21" s="415"/>
      <c r="C21" s="408" t="s">
        <v>77</v>
      </c>
      <c r="D21" s="415"/>
      <c r="E21" s="415"/>
      <c r="F21" s="415"/>
      <c r="G21" s="479"/>
      <c r="H21" s="482">
        <f>G20+G21</f>
        <v>0</v>
      </c>
      <c r="I21" s="537" t="str">
        <f>IF(H21&lt;&gt;0,0,"NIL")</f>
        <v>NIL</v>
      </c>
      <c r="J21" s="472"/>
      <c r="K21" s="415"/>
      <c r="L21" s="415"/>
    </row>
    <row r="22" spans="1:12" ht="20.100000000000001" customHeight="1" thickTop="1" x14ac:dyDescent="0.25">
      <c r="A22" s="420"/>
      <c r="B22" s="421" t="s">
        <v>998</v>
      </c>
      <c r="C22" s="415"/>
      <c r="D22" s="415"/>
      <c r="E22" s="415"/>
      <c r="F22" s="415"/>
      <c r="G22" s="415"/>
      <c r="H22" s="482"/>
      <c r="I22" s="536"/>
      <c r="J22" s="471"/>
      <c r="K22" s="415"/>
      <c r="L22" s="415"/>
    </row>
    <row r="23" spans="1:12" x14ac:dyDescent="0.25">
      <c r="A23" s="420"/>
      <c r="B23" s="589"/>
      <c r="C23" s="408" t="s">
        <v>1159</v>
      </c>
      <c r="D23" s="431"/>
      <c r="E23" s="431"/>
      <c r="F23" s="415"/>
      <c r="G23" s="411">
        <v>18000</v>
      </c>
      <c r="H23" s="482"/>
      <c r="I23" s="536"/>
      <c r="J23" s="471"/>
      <c r="K23" s="415"/>
      <c r="L23" s="415"/>
    </row>
    <row r="24" spans="1:12" hidden="1" x14ac:dyDescent="0.25">
      <c r="A24" s="420"/>
      <c r="B24" s="589"/>
      <c r="C24" s="408"/>
      <c r="D24" s="431"/>
      <c r="E24" s="431"/>
      <c r="F24" s="408"/>
      <c r="G24" s="411"/>
      <c r="H24" s="482"/>
      <c r="I24" s="536"/>
      <c r="J24" s="471"/>
      <c r="K24" s="415"/>
      <c r="L24" s="415"/>
    </row>
    <row r="25" spans="1:12" x14ac:dyDescent="0.25">
      <c r="A25" s="420"/>
      <c r="B25" s="589"/>
      <c r="C25" s="408" t="s">
        <v>1160</v>
      </c>
      <c r="D25" s="431"/>
      <c r="E25" s="431" t="s">
        <v>1162</v>
      </c>
      <c r="F25" s="431"/>
      <c r="G25" s="462">
        <v>30000</v>
      </c>
      <c r="H25" s="482"/>
      <c r="I25" s="536"/>
      <c r="J25" s="471"/>
      <c r="K25" s="415"/>
      <c r="L25" s="415"/>
    </row>
    <row r="26" spans="1:12" ht="15" customHeight="1" x14ac:dyDescent="0.3">
      <c r="A26" s="420"/>
      <c r="B26" s="589"/>
      <c r="C26" s="431"/>
      <c r="D26" s="434"/>
      <c r="E26" s="433"/>
      <c r="F26" s="433"/>
      <c r="G26" s="660">
        <f>SUM(G23:G25)</f>
        <v>48000</v>
      </c>
      <c r="H26" s="482"/>
      <c r="I26" s="536"/>
      <c r="J26" s="471"/>
      <c r="K26" s="415"/>
      <c r="L26" s="415"/>
    </row>
    <row r="27" spans="1:12" ht="15" hidden="1" customHeight="1" x14ac:dyDescent="0.25">
      <c r="A27" s="420"/>
      <c r="B27" s="589"/>
      <c r="C27" s="435" t="s">
        <v>512</v>
      </c>
      <c r="D27" s="436"/>
      <c r="E27" s="436"/>
      <c r="F27" s="436"/>
      <c r="G27" s="437"/>
      <c r="H27" s="482"/>
      <c r="I27" s="536"/>
      <c r="J27" s="471"/>
      <c r="K27" s="415"/>
      <c r="L27" s="415"/>
    </row>
    <row r="28" spans="1:12" ht="15" hidden="1" customHeight="1" x14ac:dyDescent="0.25">
      <c r="A28" s="420"/>
      <c r="B28" s="589"/>
      <c r="G28" s="410"/>
      <c r="H28" s="482"/>
      <c r="I28" s="536"/>
      <c r="J28" s="471"/>
      <c r="K28" s="415"/>
      <c r="L28" s="415"/>
    </row>
    <row r="29" spans="1:12" ht="15" hidden="1" customHeight="1" x14ac:dyDescent="0.25">
      <c r="A29" s="420"/>
      <c r="B29" s="589"/>
      <c r="G29" s="410"/>
      <c r="H29" s="482"/>
      <c r="I29" s="536"/>
      <c r="J29" s="471"/>
      <c r="K29" s="415"/>
      <c r="L29" s="415"/>
    </row>
    <row r="30" spans="1:12" ht="15" hidden="1" customHeight="1" x14ac:dyDescent="0.25">
      <c r="A30" s="420"/>
      <c r="B30" s="589"/>
      <c r="C30" s="436" t="s">
        <v>846</v>
      </c>
      <c r="D30" s="436"/>
      <c r="E30" s="415"/>
      <c r="F30" s="438"/>
      <c r="G30" s="437"/>
      <c r="H30" s="482"/>
      <c r="I30" s="536"/>
      <c r="J30" s="471"/>
      <c r="K30" s="415"/>
      <c r="L30" s="415"/>
    </row>
    <row r="31" spans="1:12" ht="15" hidden="1" customHeight="1" x14ac:dyDescent="0.25">
      <c r="A31" s="420"/>
      <c r="B31" s="589"/>
      <c r="C31" s="432" t="s">
        <v>847</v>
      </c>
      <c r="D31" s="415"/>
      <c r="E31" s="415"/>
      <c r="F31" s="461">
        <f>ROUND(IF(F30/3&gt;15000,15000,F30/3),0)</f>
        <v>0</v>
      </c>
      <c r="G31" s="447">
        <f>F30-F31</f>
        <v>0</v>
      </c>
      <c r="H31" s="482"/>
      <c r="I31" s="536"/>
      <c r="J31" s="471"/>
      <c r="K31" s="415"/>
      <c r="L31" s="415"/>
    </row>
    <row r="32" spans="1:12" ht="15" hidden="1" customHeight="1" x14ac:dyDescent="0.25">
      <c r="A32" s="420"/>
      <c r="B32" s="589"/>
      <c r="C32" s="415"/>
      <c r="D32" s="415"/>
      <c r="E32" s="415"/>
      <c r="F32" s="415"/>
      <c r="G32" s="480">
        <f>SUM(G28:G31)</f>
        <v>0</v>
      </c>
      <c r="H32" s="484"/>
      <c r="J32" s="472"/>
      <c r="K32" s="415"/>
      <c r="L32" s="415"/>
    </row>
    <row r="33" spans="1:12" ht="15" customHeight="1" x14ac:dyDescent="0.25">
      <c r="A33" s="420"/>
      <c r="B33" s="589"/>
      <c r="C33" s="415"/>
      <c r="D33" s="415"/>
      <c r="E33" s="415"/>
      <c r="F33" s="415"/>
      <c r="G33" s="437"/>
      <c r="H33" s="482">
        <f>G26+G32</f>
        <v>48000</v>
      </c>
      <c r="I33" s="537">
        <f>IF(H33&lt;&gt;0,0,"NIL")</f>
        <v>0</v>
      </c>
      <c r="J33" s="472"/>
      <c r="K33" s="415"/>
      <c r="L33" s="415"/>
    </row>
    <row r="34" spans="1:12" ht="15" hidden="1" customHeight="1" x14ac:dyDescent="0.3">
      <c r="A34" s="420"/>
      <c r="B34" s="589"/>
      <c r="C34" s="439" t="s">
        <v>564</v>
      </c>
      <c r="D34" s="436"/>
      <c r="E34" s="436"/>
      <c r="F34" s="440"/>
      <c r="G34" s="437"/>
      <c r="H34" s="484"/>
      <c r="J34" s="472"/>
      <c r="K34" s="415"/>
      <c r="L34" s="415"/>
    </row>
    <row r="35" spans="1:12" ht="12.75" hidden="1" customHeight="1" x14ac:dyDescent="0.25">
      <c r="A35" s="420"/>
      <c r="B35" s="421"/>
      <c r="C35" s="409" t="s">
        <v>851</v>
      </c>
      <c r="D35" s="436"/>
      <c r="E35" s="441"/>
      <c r="F35" s="442"/>
      <c r="G35" s="430"/>
      <c r="H35" s="482"/>
      <c r="I35" s="536"/>
      <c r="J35" s="471"/>
      <c r="K35" s="415"/>
      <c r="L35" s="415"/>
    </row>
    <row r="36" spans="1:12" ht="12.75" hidden="1" customHeight="1" x14ac:dyDescent="0.25">
      <c r="A36" s="420"/>
      <c r="B36" s="421"/>
      <c r="C36" s="409" t="s">
        <v>981</v>
      </c>
      <c r="D36" s="436"/>
      <c r="E36" s="441"/>
      <c r="F36" s="442"/>
      <c r="G36" s="430"/>
      <c r="H36" s="482"/>
      <c r="I36" s="536"/>
      <c r="J36" s="471"/>
      <c r="K36" s="415"/>
      <c r="L36" s="415"/>
    </row>
    <row r="37" spans="1:12" ht="12.75" hidden="1" customHeight="1" x14ac:dyDescent="0.25">
      <c r="A37" s="420"/>
      <c r="B37" s="421"/>
      <c r="C37" s="409" t="s">
        <v>982</v>
      </c>
      <c r="D37" s="436"/>
      <c r="E37" s="441"/>
      <c r="F37" s="442"/>
      <c r="G37" s="430"/>
      <c r="H37" s="482"/>
      <c r="I37" s="536"/>
      <c r="J37" s="471"/>
      <c r="K37" s="415"/>
      <c r="L37" s="415"/>
    </row>
    <row r="38" spans="1:12" ht="12.75" hidden="1" customHeight="1" x14ac:dyDescent="0.25">
      <c r="A38" s="420"/>
      <c r="B38" s="421"/>
      <c r="C38" s="409" t="s">
        <v>983</v>
      </c>
      <c r="D38" s="436"/>
      <c r="E38" s="415"/>
      <c r="F38" s="442"/>
      <c r="G38" s="430"/>
      <c r="H38" s="482"/>
      <c r="I38" s="536"/>
      <c r="J38" s="471"/>
      <c r="K38" s="415"/>
      <c r="L38" s="415"/>
    </row>
    <row r="39" spans="1:12" ht="12.75" hidden="1" customHeight="1" thickBot="1" x14ac:dyDescent="0.3">
      <c r="A39" s="420"/>
      <c r="B39" s="428"/>
      <c r="C39" s="435"/>
      <c r="D39" s="436"/>
      <c r="E39" s="415"/>
      <c r="F39" s="443">
        <f>SUM(F35:F38)</f>
        <v>0</v>
      </c>
      <c r="G39" s="437"/>
      <c r="H39" s="484"/>
      <c r="J39" s="471"/>
      <c r="K39" s="415"/>
      <c r="L39" s="415"/>
    </row>
    <row r="40" spans="1:12" ht="12.75" customHeight="1" x14ac:dyDescent="0.25">
      <c r="A40" s="420"/>
      <c r="B40" s="428"/>
      <c r="C40" s="435"/>
      <c r="D40" s="436"/>
      <c r="E40" s="415"/>
      <c r="F40" s="444"/>
      <c r="G40" s="437"/>
      <c r="H40" s="484"/>
      <c r="I40" s="538"/>
      <c r="J40" s="534"/>
      <c r="K40" s="415"/>
      <c r="L40" s="415"/>
    </row>
    <row r="41" spans="1:12" ht="15" customHeight="1" x14ac:dyDescent="0.25">
      <c r="A41" s="420"/>
      <c r="B41" s="421" t="s">
        <v>501</v>
      </c>
      <c r="C41" s="415"/>
      <c r="D41" s="415"/>
      <c r="E41" s="428"/>
      <c r="F41" s="428"/>
      <c r="G41" s="424"/>
      <c r="H41" s="485">
        <f>SUM(H6:H39)</f>
        <v>8704000</v>
      </c>
      <c r="I41" s="537">
        <f>IF(H41&lt;&gt;0,0,"NIL")</f>
        <v>0</v>
      </c>
      <c r="J41" s="472"/>
      <c r="K41" s="415"/>
      <c r="L41" s="415"/>
    </row>
    <row r="42" spans="1:12" ht="15" customHeight="1" x14ac:dyDescent="0.25">
      <c r="A42" s="420"/>
      <c r="B42" s="445" t="s">
        <v>999</v>
      </c>
      <c r="C42" s="415"/>
      <c r="D42" s="415"/>
      <c r="E42" s="415"/>
      <c r="F42" s="415"/>
      <c r="G42" s="415"/>
      <c r="H42" s="482"/>
      <c r="I42" s="536"/>
      <c r="J42" s="471"/>
      <c r="K42" s="415"/>
      <c r="L42" s="415"/>
    </row>
    <row r="43" spans="1:12" ht="12.75" customHeight="1" x14ac:dyDescent="0.25">
      <c r="A43" s="420"/>
      <c r="B43" s="446"/>
      <c r="C43" s="435" t="s">
        <v>1080</v>
      </c>
      <c r="D43" s="415"/>
      <c r="E43" s="415"/>
      <c r="F43" s="415"/>
      <c r="G43" s="423"/>
      <c r="H43" s="482"/>
      <c r="I43" s="536"/>
      <c r="J43" s="471"/>
      <c r="K43" s="415"/>
      <c r="L43" s="415"/>
    </row>
    <row r="44" spans="1:12" ht="12.75" hidden="1" customHeight="1" x14ac:dyDescent="0.25">
      <c r="A44" s="420"/>
      <c r="B44" s="446"/>
      <c r="C44" s="431" t="s">
        <v>510</v>
      </c>
      <c r="D44" s="415"/>
      <c r="E44" s="415"/>
      <c r="F44" s="411"/>
      <c r="G44" s="423"/>
      <c r="H44" s="482"/>
      <c r="I44" s="536"/>
      <c r="J44" s="471"/>
      <c r="K44" s="415"/>
      <c r="L44" s="415"/>
    </row>
    <row r="45" spans="1:12" ht="12.75" hidden="1" customHeight="1" x14ac:dyDescent="0.25">
      <c r="A45" s="420"/>
      <c r="B45" s="446"/>
      <c r="C45" s="431" t="s">
        <v>1081</v>
      </c>
      <c r="D45" s="415"/>
      <c r="E45" s="415"/>
      <c r="F45" s="411"/>
      <c r="G45" s="423"/>
      <c r="H45" s="482"/>
      <c r="I45" s="536"/>
      <c r="J45" s="471"/>
      <c r="K45" s="415"/>
      <c r="L45" s="415"/>
    </row>
    <row r="46" spans="1:12" ht="12.75" hidden="1" customHeight="1" x14ac:dyDescent="0.25">
      <c r="A46" s="420"/>
      <c r="B46" s="446"/>
      <c r="C46" s="431" t="s">
        <v>985</v>
      </c>
      <c r="D46" s="415"/>
      <c r="E46" s="415"/>
      <c r="F46" s="411"/>
      <c r="G46" s="423"/>
      <c r="H46" s="482"/>
      <c r="I46" s="536"/>
      <c r="J46" s="471"/>
      <c r="K46" s="415"/>
      <c r="L46" s="415"/>
    </row>
    <row r="47" spans="1:12" ht="12.75" hidden="1" customHeight="1" x14ac:dyDescent="0.25">
      <c r="A47" s="420"/>
      <c r="B47" s="446"/>
      <c r="C47" s="431" t="s">
        <v>984</v>
      </c>
      <c r="D47" s="415"/>
      <c r="E47" s="415"/>
      <c r="F47" s="411"/>
      <c r="G47" s="423"/>
      <c r="H47" s="482"/>
      <c r="I47" s="536"/>
      <c r="J47" s="471"/>
      <c r="K47" s="415"/>
      <c r="L47" s="415"/>
    </row>
    <row r="48" spans="1:12" ht="12.75" customHeight="1" x14ac:dyDescent="0.25">
      <c r="A48" s="420"/>
      <c r="B48" s="446"/>
      <c r="C48" s="431"/>
      <c r="D48" s="415"/>
      <c r="E48" s="415"/>
      <c r="F48" s="411"/>
      <c r="G48" s="423"/>
      <c r="H48" s="482"/>
      <c r="I48" s="536"/>
      <c r="J48" s="471"/>
      <c r="K48" s="415"/>
      <c r="L48" s="415"/>
    </row>
    <row r="49" spans="1:12" ht="12.75" customHeight="1" x14ac:dyDescent="0.25">
      <c r="A49" s="420"/>
      <c r="B49" s="446"/>
      <c r="C49" s="431" t="s">
        <v>510</v>
      </c>
      <c r="D49" s="415"/>
      <c r="E49" s="415"/>
      <c r="F49" s="411">
        <v>210000</v>
      </c>
      <c r="G49" s="423"/>
      <c r="H49" s="482"/>
      <c r="I49" s="536"/>
      <c r="J49" s="471"/>
      <c r="K49" s="415"/>
      <c r="L49" s="415"/>
    </row>
    <row r="50" spans="1:12" ht="12.75" hidden="1" customHeight="1" x14ac:dyDescent="0.25">
      <c r="A50" s="420"/>
      <c r="B50" s="446"/>
      <c r="C50" s="431" t="s">
        <v>986</v>
      </c>
      <c r="D50" s="415"/>
      <c r="E50" s="415"/>
      <c r="F50" s="411"/>
      <c r="G50" s="423"/>
      <c r="H50" s="482"/>
      <c r="I50" s="536"/>
      <c r="J50" s="471"/>
      <c r="K50" s="415"/>
      <c r="L50" s="415"/>
    </row>
    <row r="51" spans="1:12" ht="12.75" hidden="1" customHeight="1" x14ac:dyDescent="0.25">
      <c r="A51" s="420"/>
      <c r="B51" s="446"/>
      <c r="C51" s="431" t="s">
        <v>987</v>
      </c>
      <c r="D51" s="415"/>
      <c r="E51" s="415"/>
      <c r="F51" s="411"/>
      <c r="G51" s="423"/>
      <c r="H51" s="482"/>
      <c r="I51" s="536"/>
      <c r="J51" s="471"/>
      <c r="K51" s="415"/>
      <c r="L51" s="415"/>
    </row>
    <row r="52" spans="1:12" ht="12.75" hidden="1" customHeight="1" x14ac:dyDescent="0.25">
      <c r="A52" s="420"/>
      <c r="B52" s="446"/>
      <c r="C52" s="431" t="s">
        <v>988</v>
      </c>
      <c r="D52" s="415"/>
      <c r="E52" s="415"/>
      <c r="F52" s="411"/>
      <c r="G52" s="423"/>
      <c r="H52" s="482"/>
      <c r="I52" s="536"/>
      <c r="J52" s="471"/>
      <c r="K52" s="415"/>
      <c r="L52" s="415"/>
    </row>
    <row r="53" spans="1:12" ht="12.75" hidden="1" customHeight="1" x14ac:dyDescent="0.25">
      <c r="A53" s="420"/>
      <c r="B53" s="446"/>
      <c r="C53" s="431" t="s">
        <v>989</v>
      </c>
      <c r="D53" s="415"/>
      <c r="E53" s="415"/>
      <c r="F53" s="411"/>
      <c r="G53" s="423"/>
      <c r="H53" s="482"/>
      <c r="I53" s="536"/>
      <c r="J53" s="471"/>
      <c r="K53" s="415"/>
      <c r="L53" s="415"/>
    </row>
    <row r="54" spans="1:12" ht="12.75" hidden="1" customHeight="1" x14ac:dyDescent="0.25">
      <c r="A54" s="420"/>
      <c r="B54" s="446"/>
      <c r="C54" s="431"/>
      <c r="D54" s="415"/>
      <c r="E54" s="415"/>
      <c r="F54" s="411"/>
      <c r="G54" s="423"/>
      <c r="H54" s="482"/>
      <c r="I54" s="536"/>
      <c r="J54" s="471"/>
      <c r="K54" s="415"/>
      <c r="L54" s="415"/>
    </row>
    <row r="55" spans="1:12" ht="15" customHeight="1" x14ac:dyDescent="0.25">
      <c r="A55" s="420"/>
      <c r="B55" s="446"/>
      <c r="C55" s="431"/>
      <c r="D55" s="415"/>
      <c r="E55" s="415"/>
      <c r="F55" s="448">
        <f>SUM(F44:F54)</f>
        <v>210000</v>
      </c>
      <c r="G55" s="415">
        <f>IF(F55&gt;150000,150000,F55)</f>
        <v>150000</v>
      </c>
      <c r="H55" s="482"/>
      <c r="I55" s="536"/>
      <c r="J55" s="471"/>
      <c r="K55" s="415"/>
      <c r="L55" s="415"/>
    </row>
    <row r="56" spans="1:12" ht="15" customHeight="1" x14ac:dyDescent="0.25">
      <c r="A56" s="420"/>
      <c r="B56" s="446"/>
      <c r="C56" s="449" t="s">
        <v>1079</v>
      </c>
      <c r="D56" s="415"/>
      <c r="E56" s="415" t="s">
        <v>1149</v>
      </c>
      <c r="F56" s="450"/>
      <c r="G56" s="411">
        <v>10000</v>
      </c>
      <c r="H56" s="482"/>
      <c r="I56" s="536"/>
      <c r="J56" s="471"/>
      <c r="K56" s="415"/>
      <c r="L56" s="415"/>
    </row>
    <row r="57" spans="1:12" ht="15" hidden="1" customHeight="1" x14ac:dyDescent="0.25">
      <c r="A57" s="420"/>
      <c r="B57" s="446"/>
      <c r="C57" s="449" t="s">
        <v>1078</v>
      </c>
      <c r="D57" s="415"/>
      <c r="E57" s="415"/>
      <c r="F57" s="450"/>
      <c r="G57" s="411"/>
      <c r="H57" s="482"/>
      <c r="I57" s="536"/>
      <c r="J57" s="471"/>
      <c r="K57" s="415"/>
      <c r="L57" s="415"/>
    </row>
    <row r="58" spans="1:12" ht="15" customHeight="1" x14ac:dyDescent="0.25">
      <c r="A58" s="420"/>
      <c r="B58" s="446"/>
      <c r="C58" s="449" t="s">
        <v>852</v>
      </c>
      <c r="D58" s="415"/>
      <c r="E58" s="431" t="s">
        <v>1161</v>
      </c>
      <c r="F58" s="450"/>
      <c r="G58" s="411"/>
      <c r="H58" s="482"/>
      <c r="I58" s="536"/>
      <c r="J58" s="471"/>
      <c r="K58" s="415"/>
      <c r="L58" s="415"/>
    </row>
    <row r="59" spans="1:12" ht="15" hidden="1" customHeight="1" x14ac:dyDescent="0.25">
      <c r="A59" s="420"/>
      <c r="B59" s="446"/>
      <c r="C59" s="449" t="s">
        <v>611</v>
      </c>
      <c r="D59" s="415"/>
      <c r="E59" s="415"/>
      <c r="F59" s="415"/>
      <c r="G59" s="411"/>
      <c r="H59" s="482"/>
      <c r="I59" s="536"/>
      <c r="J59" s="471"/>
      <c r="K59" s="415"/>
      <c r="L59" s="415"/>
    </row>
    <row r="60" spans="1:12" ht="15" customHeight="1" x14ac:dyDescent="0.25">
      <c r="A60" s="420"/>
      <c r="B60" s="415"/>
      <c r="C60" s="449" t="s">
        <v>979</v>
      </c>
      <c r="D60" s="415"/>
      <c r="E60" s="428"/>
      <c r="F60" s="428"/>
      <c r="G60" s="447"/>
      <c r="H60" s="482"/>
      <c r="I60" s="536"/>
      <c r="J60" s="471"/>
      <c r="K60" s="415"/>
      <c r="L60" s="415"/>
    </row>
    <row r="61" spans="1:12" x14ac:dyDescent="0.25">
      <c r="A61" s="420"/>
      <c r="B61" s="415"/>
      <c r="C61" s="543" t="s">
        <v>853</v>
      </c>
      <c r="D61" s="415"/>
      <c r="E61" s="428"/>
      <c r="F61" s="428"/>
      <c r="G61" s="411"/>
      <c r="H61" s="482">
        <f>SUM(G55:G61)</f>
        <v>160000</v>
      </c>
      <c r="I61" s="537">
        <f>IF(H61&lt;&gt;0,0,"NIL")</f>
        <v>0</v>
      </c>
      <c r="J61" s="472"/>
      <c r="K61" s="415"/>
      <c r="L61" s="415"/>
    </row>
    <row r="62" spans="1:12" ht="15.75" customHeight="1" thickBot="1" x14ac:dyDescent="0.3">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x14ac:dyDescent="0.25">
      <c r="A63" s="420"/>
      <c r="B63" s="450" t="s">
        <v>778</v>
      </c>
      <c r="C63" s="415"/>
      <c r="D63" s="415"/>
      <c r="E63" s="444" t="s">
        <v>521</v>
      </c>
      <c r="F63" s="454" t="s">
        <v>522</v>
      </c>
      <c r="G63" s="444" t="s">
        <v>524</v>
      </c>
      <c r="H63" s="487"/>
      <c r="J63" s="471"/>
      <c r="K63" s="415"/>
      <c r="L63" s="415"/>
    </row>
    <row r="64" spans="1:12" ht="15" customHeight="1" x14ac:dyDescent="0.25">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x14ac:dyDescent="0.25">
      <c r="A65" s="420"/>
      <c r="B65" s="450"/>
      <c r="C65" s="408" t="s">
        <v>518</v>
      </c>
      <c r="D65" s="415"/>
      <c r="E65" s="410"/>
      <c r="F65" s="457">
        <v>0.15</v>
      </c>
      <c r="G65" s="523"/>
      <c r="H65" s="484"/>
      <c r="J65" s="471"/>
      <c r="K65" s="415"/>
      <c r="L65" s="415"/>
    </row>
    <row r="66" spans="1:12" ht="15" hidden="1" customHeight="1" x14ac:dyDescent="0.25">
      <c r="A66" s="420"/>
      <c r="B66" s="415"/>
      <c r="C66" s="408" t="s">
        <v>518</v>
      </c>
      <c r="D66" s="456"/>
      <c r="E66" s="428"/>
      <c r="F66" s="415"/>
      <c r="G66" s="526">
        <f>G64+G65</f>
        <v>2379200</v>
      </c>
      <c r="H66" s="488"/>
      <c r="I66" s="537"/>
      <c r="J66" s="472"/>
      <c r="K66" s="415"/>
      <c r="L66" s="415"/>
    </row>
    <row r="67" spans="1:12" ht="15" hidden="1" customHeight="1" x14ac:dyDescent="0.25">
      <c r="A67" s="420"/>
      <c r="B67" s="415"/>
      <c r="C67" s="408" t="s">
        <v>518</v>
      </c>
      <c r="D67" s="456"/>
      <c r="E67" s="428"/>
      <c r="F67" s="415"/>
      <c r="G67" s="526"/>
      <c r="H67" s="488"/>
      <c r="I67" s="537"/>
      <c r="J67" s="472"/>
      <c r="K67" s="415"/>
      <c r="L67" s="415"/>
    </row>
    <row r="68" spans="1:12" ht="15" customHeight="1" x14ac:dyDescent="0.25">
      <c r="A68" s="420"/>
      <c r="C68" s="408" t="s">
        <v>519</v>
      </c>
      <c r="D68" s="456"/>
      <c r="E68" s="526">
        <f>+G25</f>
        <v>30000</v>
      </c>
      <c r="F68" s="678">
        <v>0.3</v>
      </c>
      <c r="G68" s="527">
        <f>E68*0.3</f>
        <v>9000</v>
      </c>
      <c r="H68" s="489">
        <f>G66+G68</f>
        <v>2388200</v>
      </c>
      <c r="I68" s="537">
        <f>IF(H68&lt;&gt;0,0,"NIL")</f>
        <v>0</v>
      </c>
      <c r="J68" s="472"/>
      <c r="K68" s="415"/>
      <c r="L68" s="415"/>
    </row>
    <row r="69" spans="1:12" ht="15" customHeight="1" x14ac:dyDescent="0.25">
      <c r="A69" s="420"/>
      <c r="B69" s="408" t="s">
        <v>774</v>
      </c>
      <c r="C69" s="415"/>
      <c r="D69" s="456"/>
      <c r="E69" s="428"/>
      <c r="F69" s="415"/>
      <c r="G69" s="428"/>
      <c r="H69" s="489">
        <f>ROUND((H68)*0.02,0)</f>
        <v>47764</v>
      </c>
      <c r="I69" s="537">
        <f>IF(H69&lt;&gt;0,0,"NIL")</f>
        <v>0</v>
      </c>
      <c r="J69" s="472"/>
      <c r="K69" s="415"/>
      <c r="L69" s="415"/>
    </row>
    <row r="70" spans="1:12" ht="15" customHeight="1" x14ac:dyDescent="0.25">
      <c r="A70" s="420"/>
      <c r="B70" s="408" t="s">
        <v>775</v>
      </c>
      <c r="C70" s="415"/>
      <c r="D70" s="456"/>
      <c r="E70" s="458"/>
      <c r="F70" s="415"/>
      <c r="G70" s="428"/>
      <c r="H70" s="528">
        <f>ROUND((H68)*0.01,0)</f>
        <v>23882</v>
      </c>
      <c r="I70" s="540">
        <f>IF(H70&lt;&gt;0,0,"NIL")</f>
        <v>0</v>
      </c>
      <c r="J70" s="474"/>
      <c r="K70" s="423"/>
      <c r="L70" s="423"/>
    </row>
    <row r="71" spans="1:12" ht="15" customHeight="1" x14ac:dyDescent="0.25">
      <c r="A71" s="420"/>
      <c r="B71" s="450" t="s">
        <v>565</v>
      </c>
      <c r="C71" s="415"/>
      <c r="D71" s="456"/>
      <c r="E71" s="458"/>
      <c r="F71" s="415"/>
      <c r="G71" s="428"/>
      <c r="H71" s="488">
        <f>SUM(H68:H70)</f>
        <v>2459846</v>
      </c>
      <c r="I71" s="537"/>
      <c r="J71" s="472"/>
      <c r="K71" s="423"/>
      <c r="L71" s="423"/>
    </row>
    <row r="72" spans="1:12" ht="15" hidden="1" customHeight="1" x14ac:dyDescent="0.25">
      <c r="A72" s="420"/>
      <c r="B72" s="427"/>
      <c r="C72" s="428"/>
      <c r="D72" s="428"/>
      <c r="E72" s="428"/>
      <c r="F72" s="428"/>
      <c r="G72" s="428"/>
      <c r="H72" s="528"/>
      <c r="I72" s="540"/>
      <c r="J72" s="473"/>
      <c r="K72" s="423"/>
      <c r="L72" s="427"/>
    </row>
    <row r="73" spans="1:12" ht="15" hidden="1" customHeight="1" x14ac:dyDescent="0.25">
      <c r="A73" s="420"/>
      <c r="B73" s="450"/>
      <c r="C73" s="428"/>
      <c r="D73" s="428"/>
      <c r="E73" s="428"/>
      <c r="F73" s="428"/>
      <c r="G73" s="428"/>
      <c r="H73" s="491">
        <f>H71+H72</f>
        <v>2459846</v>
      </c>
      <c r="I73" s="537"/>
      <c r="J73" s="472"/>
      <c r="K73" s="415"/>
      <c r="L73" s="415"/>
    </row>
    <row r="74" spans="1:12" ht="15" hidden="1" customHeight="1" x14ac:dyDescent="0.25">
      <c r="A74" s="420"/>
      <c r="B74" s="652" t="s">
        <v>523</v>
      </c>
      <c r="C74" s="428"/>
      <c r="D74" s="428"/>
      <c r="E74" s="428"/>
      <c r="F74" s="428"/>
      <c r="G74" s="428"/>
      <c r="H74" s="492">
        <v>0</v>
      </c>
      <c r="I74" s="540" t="str">
        <f>IF(H74&lt;&gt;0,0,"NIL")</f>
        <v>NIL</v>
      </c>
      <c r="J74" s="473"/>
      <c r="K74" s="415"/>
      <c r="L74" s="415"/>
    </row>
    <row r="75" spans="1:12" ht="15" hidden="1" customHeight="1" x14ac:dyDescent="0.25">
      <c r="A75" s="420"/>
      <c r="B75" s="450" t="s">
        <v>768</v>
      </c>
      <c r="C75" s="428"/>
      <c r="D75" s="428"/>
      <c r="E75" s="428"/>
      <c r="F75" s="428"/>
      <c r="G75" s="428"/>
      <c r="H75" s="490">
        <f>H73+H74</f>
        <v>2459846</v>
      </c>
      <c r="I75" s="537">
        <f>IF(H75&lt;&gt;0,0,"NIL")</f>
        <v>0</v>
      </c>
      <c r="J75" s="472"/>
      <c r="K75" s="415"/>
      <c r="L75" s="415"/>
    </row>
    <row r="76" spans="1:12" ht="15" customHeight="1" x14ac:dyDescent="0.25">
      <c r="A76" s="420"/>
      <c r="B76" s="421" t="s">
        <v>571</v>
      </c>
      <c r="C76" s="428"/>
      <c r="D76" s="428"/>
      <c r="E76" s="428"/>
      <c r="F76" s="428"/>
      <c r="G76" s="428"/>
      <c r="H76" s="490"/>
      <c r="I76" s="537"/>
      <c r="J76" s="471"/>
      <c r="K76" s="415"/>
      <c r="L76" s="415"/>
    </row>
    <row r="77" spans="1:12" ht="15" hidden="1" customHeight="1" x14ac:dyDescent="0.3">
      <c r="A77" s="420"/>
      <c r="B77" s="415"/>
      <c r="C77" s="1340" t="s">
        <v>993</v>
      </c>
      <c r="D77" s="1340"/>
      <c r="E77" s="1340"/>
      <c r="F77" s="1340"/>
      <c r="G77" s="447"/>
      <c r="H77" s="482"/>
      <c r="I77" s="536"/>
      <c r="J77" s="472"/>
      <c r="K77" s="415"/>
      <c r="L77" s="415"/>
    </row>
    <row r="78" spans="1:12" ht="15" customHeight="1" x14ac:dyDescent="0.3">
      <c r="A78" s="420"/>
      <c r="B78" s="588">
        <f>SUM(G77:G80)</f>
        <v>2405000</v>
      </c>
      <c r="C78" s="1340" t="s">
        <v>1152</v>
      </c>
      <c r="D78" s="1340"/>
      <c r="E78" s="1340"/>
      <c r="F78" s="1340"/>
      <c r="G78" s="410">
        <v>2402000</v>
      </c>
      <c r="H78" s="482"/>
      <c r="I78" s="536"/>
      <c r="J78" s="472"/>
      <c r="K78" s="415"/>
      <c r="L78" s="415"/>
    </row>
    <row r="79" spans="1:12" ht="12.75" hidden="1" customHeight="1" x14ac:dyDescent="0.3">
      <c r="A79" s="420"/>
      <c r="B79" s="459"/>
      <c r="C79" s="1340"/>
      <c r="D79" s="1340"/>
      <c r="E79" s="1340"/>
      <c r="F79" s="1340"/>
      <c r="G79" s="410"/>
      <c r="H79" s="482"/>
      <c r="I79" s="536"/>
      <c r="J79" s="472"/>
      <c r="K79" s="415"/>
      <c r="L79" s="415"/>
    </row>
    <row r="80" spans="1:12" ht="12.75" customHeight="1" x14ac:dyDescent="0.3">
      <c r="A80" s="420"/>
      <c r="B80" s="459"/>
      <c r="C80" s="1340" t="s">
        <v>1163</v>
      </c>
      <c r="D80" s="1340"/>
      <c r="E80" s="1340"/>
      <c r="F80" s="1340"/>
      <c r="G80" s="410">
        <v>3000</v>
      </c>
      <c r="H80" s="482"/>
      <c r="I80" s="536"/>
      <c r="J80" s="472"/>
      <c r="K80" s="415"/>
      <c r="L80" s="408"/>
    </row>
    <row r="81" spans="1:16" ht="12.75" customHeight="1" thickBot="1" x14ac:dyDescent="0.35">
      <c r="A81" s="414"/>
      <c r="B81" s="477"/>
      <c r="C81" s="1342" t="s">
        <v>1226</v>
      </c>
      <c r="D81" s="1342"/>
      <c r="E81" s="1342"/>
      <c r="F81" s="1342"/>
      <c r="G81" s="481">
        <v>54850</v>
      </c>
      <c r="H81" s="493">
        <f>SUM(G77:G81)</f>
        <v>2459850</v>
      </c>
      <c r="I81" s="541">
        <f>IF(H81&lt;&gt;0,0,"NIL")</f>
        <v>0</v>
      </c>
      <c r="J81" s="478"/>
      <c r="K81" s="415"/>
      <c r="L81" s="408"/>
    </row>
    <row r="82" spans="1:16" ht="18" customHeight="1" thickBot="1" x14ac:dyDescent="0.3">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x14ac:dyDescent="0.25">
      <c r="A83" s="567"/>
      <c r="B83" s="570"/>
      <c r="C83" s="570"/>
      <c r="D83" s="570"/>
      <c r="E83" s="570"/>
      <c r="F83" s="570"/>
      <c r="G83" s="570"/>
      <c r="H83" s="570"/>
      <c r="I83" s="568"/>
      <c r="J83" s="569"/>
      <c r="K83" s="415"/>
      <c r="L83" s="408"/>
      <c r="M83" s="554"/>
      <c r="N83" s="554"/>
      <c r="O83" s="554"/>
      <c r="P83" s="554"/>
    </row>
    <row r="84" spans="1:16" x14ac:dyDescent="0.25">
      <c r="A84" s="567"/>
      <c r="B84" s="554"/>
      <c r="C84" s="554"/>
      <c r="D84" s="554"/>
      <c r="E84" s="554"/>
      <c r="F84" s="554"/>
      <c r="G84" s="554"/>
      <c r="H84" s="554"/>
      <c r="I84" s="568"/>
      <c r="J84" s="569"/>
      <c r="K84" s="415"/>
      <c r="L84" s="408"/>
      <c r="M84" s="554"/>
      <c r="N84" s="554"/>
      <c r="O84" s="554"/>
      <c r="P84" s="554"/>
    </row>
    <row r="85" spans="1:16" x14ac:dyDescent="0.25">
      <c r="A85" s="567"/>
      <c r="B85" s="554"/>
      <c r="C85" s="554"/>
      <c r="D85" s="554"/>
      <c r="E85" s="554"/>
      <c r="F85" s="554"/>
      <c r="G85" s="554"/>
      <c r="H85" s="554"/>
      <c r="I85" s="568"/>
      <c r="J85" s="569"/>
      <c r="K85" s="415"/>
      <c r="L85" s="408"/>
      <c r="M85" s="554"/>
      <c r="N85" s="554"/>
      <c r="O85" s="554"/>
      <c r="P85" s="554"/>
    </row>
    <row r="86" spans="1:16" x14ac:dyDescent="0.25">
      <c r="A86" s="567"/>
      <c r="B86" s="554"/>
      <c r="C86" s="554"/>
      <c r="D86" s="554"/>
      <c r="E86" s="554"/>
      <c r="F86" s="554"/>
      <c r="G86" s="554"/>
      <c r="H86" s="554"/>
      <c r="I86" s="568"/>
      <c r="J86" s="569"/>
      <c r="K86" s="415"/>
      <c r="L86" s="408"/>
      <c r="M86" s="554"/>
      <c r="N86" s="554"/>
      <c r="O86" s="554"/>
      <c r="P86" s="554"/>
    </row>
    <row r="87" spans="1:16" x14ac:dyDescent="0.25">
      <c r="A87" s="567"/>
      <c r="B87" s="554"/>
      <c r="C87" s="554"/>
      <c r="D87" s="554"/>
      <c r="E87" s="554"/>
      <c r="F87" s="554"/>
      <c r="G87" s="554"/>
      <c r="H87" s="554"/>
      <c r="I87" s="568"/>
      <c r="J87" s="569"/>
      <c r="K87" s="415"/>
      <c r="L87" s="408"/>
      <c r="M87" s="554"/>
      <c r="N87" s="554"/>
      <c r="O87" s="554"/>
      <c r="P87" s="554"/>
    </row>
    <row r="88" spans="1:16" x14ac:dyDescent="0.25">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xr:uid="{00000000-0002-0000-0700-000000000000}">
      <formula1>"SALARY RECEIVED, PENSION RECEIVED"</formula1>
    </dataValidation>
    <dataValidation type="list" errorStyle="information" allowBlank="1" showInputMessage="1" showErrorMessage="1" sqref="C46" xr:uid="{00000000-0002-0000-07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86"/>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33" t="s">
        <v>1083</v>
      </c>
      <c r="B1" s="1334"/>
      <c r="C1" s="1334"/>
      <c r="D1" s="1334"/>
      <c r="E1" s="1334"/>
      <c r="F1" s="1334"/>
      <c r="G1" s="1334"/>
      <c r="H1" s="1334"/>
      <c r="I1" s="1334"/>
      <c r="J1" s="1335"/>
    </row>
    <row r="2" spans="1:10" ht="18" customHeight="1" thickBot="1" x14ac:dyDescent="0.3">
      <c r="A2" s="1336" t="s">
        <v>562</v>
      </c>
      <c r="B2" s="1337"/>
      <c r="C2" s="1337"/>
      <c r="D2" s="1337"/>
      <c r="E2" s="1337"/>
      <c r="F2" s="1337"/>
      <c r="G2" s="1337"/>
      <c r="H2" s="1337"/>
      <c r="I2" s="1337"/>
      <c r="J2" s="1338"/>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3200000</v>
      </c>
      <c r="H4" s="482"/>
      <c r="I4" s="536"/>
      <c r="J4" s="471"/>
    </row>
    <row r="5" spans="1:10" ht="15" customHeight="1" x14ac:dyDescent="0.25">
      <c r="A5" s="420"/>
      <c r="B5" s="421"/>
      <c r="C5" s="408" t="s">
        <v>1172</v>
      </c>
      <c r="D5" s="422"/>
      <c r="E5" s="415"/>
      <c r="F5" s="423"/>
      <c r="G5" s="411">
        <f>41000-40000</f>
        <v>1000</v>
      </c>
      <c r="H5" s="482"/>
      <c r="I5" s="536"/>
      <c r="J5" s="471"/>
    </row>
    <row r="6" spans="1:10" ht="15" customHeight="1" x14ac:dyDescent="0.25">
      <c r="A6" s="420"/>
      <c r="B6" s="421"/>
      <c r="C6" s="422" t="s">
        <v>1173</v>
      </c>
      <c r="D6" s="422"/>
      <c r="E6" s="415"/>
      <c r="F6" s="423"/>
      <c r="G6" s="411">
        <v>3000</v>
      </c>
      <c r="H6" s="482"/>
      <c r="I6" s="536"/>
      <c r="J6" s="471"/>
    </row>
    <row r="7" spans="1:10" ht="15" customHeight="1" x14ac:dyDescent="0.25">
      <c r="A7" s="420"/>
      <c r="B7" s="421"/>
      <c r="C7" s="422" t="s">
        <v>1174</v>
      </c>
      <c r="E7" s="436" t="s">
        <v>1182</v>
      </c>
      <c r="F7" s="423"/>
      <c r="G7" s="411">
        <f>53000+11000</f>
        <v>64000</v>
      </c>
      <c r="H7" s="482"/>
      <c r="I7" s="536"/>
      <c r="J7" s="471"/>
    </row>
    <row r="8" spans="1:10" ht="15" customHeight="1" x14ac:dyDescent="0.25">
      <c r="A8" s="420"/>
      <c r="B8" s="415"/>
      <c r="C8" s="422" t="s">
        <v>1175</v>
      </c>
      <c r="D8" s="415"/>
      <c r="E8" s="415"/>
      <c r="F8" s="415"/>
      <c r="G8" s="425">
        <v>12000</v>
      </c>
      <c r="H8" s="482">
        <f>SUM(G4:G8)</f>
        <v>3280000</v>
      </c>
      <c r="I8" s="537">
        <f>IF(H8&lt;&gt;0,0,"NIL")</f>
        <v>0</v>
      </c>
      <c r="J8" s="472"/>
    </row>
    <row r="9" spans="1:10" ht="15" hidden="1" customHeight="1" x14ac:dyDescent="0.25">
      <c r="A9" s="420"/>
      <c r="B9" s="426" t="s">
        <v>995</v>
      </c>
      <c r="C9" s="415"/>
      <c r="D9" s="415"/>
      <c r="E9" s="525" t="s">
        <v>1014</v>
      </c>
      <c r="F9" s="423"/>
      <c r="G9" s="415"/>
      <c r="H9" s="482"/>
      <c r="I9" s="537"/>
      <c r="J9" s="472"/>
    </row>
    <row r="10" spans="1:10" ht="15" hidden="1" customHeight="1" x14ac:dyDescent="0.25">
      <c r="A10" s="420"/>
      <c r="B10" s="415"/>
      <c r="C10" s="583" t="s">
        <v>1127</v>
      </c>
      <c r="D10" s="422"/>
      <c r="E10" s="427"/>
      <c r="F10" s="428"/>
      <c r="G10" s="411"/>
      <c r="H10" s="482"/>
      <c r="I10" s="537"/>
      <c r="J10" s="472"/>
    </row>
    <row r="11" spans="1:10" ht="15" hidden="1" customHeight="1" x14ac:dyDescent="0.25">
      <c r="A11" s="420"/>
      <c r="B11" s="415"/>
      <c r="C11" s="408" t="s">
        <v>769</v>
      </c>
      <c r="D11" s="415"/>
      <c r="E11" s="415"/>
      <c r="F11" s="415"/>
      <c r="G11" s="479"/>
      <c r="H11" s="482"/>
      <c r="I11" s="537"/>
      <c r="J11" s="472"/>
    </row>
    <row r="12" spans="1:10" ht="15" hidden="1" customHeight="1" x14ac:dyDescent="0.25">
      <c r="A12" s="420"/>
      <c r="B12" s="415"/>
      <c r="C12" s="408"/>
      <c r="D12" s="415"/>
      <c r="E12" s="415"/>
      <c r="F12" s="415"/>
      <c r="G12" s="423">
        <f>IF((G10-G11)&lt;0,0,(G10-G11))</f>
        <v>0</v>
      </c>
      <c r="H12" s="482"/>
      <c r="I12" s="537"/>
      <c r="J12" s="472"/>
    </row>
    <row r="13" spans="1:10" ht="15" hidden="1" customHeight="1" x14ac:dyDescent="0.25">
      <c r="A13" s="420"/>
      <c r="B13" s="415"/>
      <c r="C13" s="590" t="s">
        <v>514</v>
      </c>
      <c r="D13" s="415"/>
      <c r="E13" s="415" t="s">
        <v>1093</v>
      </c>
      <c r="F13" s="415">
        <f>G12*0.3</f>
        <v>0</v>
      </c>
      <c r="G13" s="423"/>
      <c r="H13" s="482"/>
      <c r="I13" s="537"/>
      <c r="J13" s="472"/>
    </row>
    <row r="14" spans="1:10" ht="15" hidden="1" customHeight="1" x14ac:dyDescent="0.25">
      <c r="A14" s="420"/>
      <c r="B14" s="415"/>
      <c r="D14" s="415"/>
      <c r="E14" s="409" t="s">
        <v>1094</v>
      </c>
      <c r="F14" s="591"/>
      <c r="G14" s="592">
        <f>F13+F14</f>
        <v>0</v>
      </c>
      <c r="H14" s="482">
        <f>G12-G14</f>
        <v>0</v>
      </c>
      <c r="I14" s="537" t="str">
        <f>IF(H14&lt;&gt;0,0,"NIL")</f>
        <v>NIL</v>
      </c>
      <c r="J14" s="472"/>
    </row>
    <row r="15" spans="1:10" ht="17.25" hidden="1" customHeight="1" x14ac:dyDescent="0.25">
      <c r="A15" s="420"/>
      <c r="B15" s="421" t="s">
        <v>996</v>
      </c>
      <c r="C15" s="408"/>
      <c r="D15" s="415"/>
      <c r="E15" s="429"/>
      <c r="F15" s="423"/>
      <c r="G15" s="415"/>
      <c r="H15" s="482"/>
      <c r="I15" s="537"/>
      <c r="J15" s="472"/>
    </row>
    <row r="16" spans="1:10" ht="15" hidden="1" customHeight="1" x14ac:dyDescent="0.25">
      <c r="A16" s="420"/>
      <c r="B16" s="415"/>
      <c r="C16" s="408" t="s">
        <v>991</v>
      </c>
      <c r="D16" s="415"/>
      <c r="E16" s="429"/>
      <c r="F16" s="423"/>
      <c r="G16" s="411"/>
      <c r="H16" s="482"/>
      <c r="I16" s="537"/>
      <c r="J16" s="472"/>
    </row>
    <row r="17" spans="1:10" ht="15" hidden="1" customHeight="1" x14ac:dyDescent="0.25">
      <c r="A17" s="420"/>
      <c r="B17" s="415"/>
      <c r="C17" s="408" t="s">
        <v>992</v>
      </c>
      <c r="D17" s="415"/>
      <c r="E17" s="429"/>
      <c r="F17" s="423"/>
      <c r="G17" s="479"/>
      <c r="H17" s="483">
        <f>G16-G17</f>
        <v>0</v>
      </c>
      <c r="I17" s="537" t="str">
        <f>IF(H17&lt;&gt;0,0,"NIL")</f>
        <v>NIL</v>
      </c>
      <c r="J17" s="472"/>
    </row>
    <row r="18" spans="1:10" ht="15" customHeight="1" x14ac:dyDescent="0.25">
      <c r="A18" s="420"/>
      <c r="B18" s="421" t="s">
        <v>997</v>
      </c>
      <c r="C18" s="415"/>
      <c r="D18" s="415"/>
      <c r="E18" s="415"/>
      <c r="F18" s="415"/>
      <c r="G18" s="415"/>
      <c r="H18" s="482"/>
      <c r="I18" s="537"/>
      <c r="J18" s="472"/>
    </row>
    <row r="19" spans="1:10" x14ac:dyDescent="0.25">
      <c r="A19" s="420"/>
      <c r="B19" s="415"/>
      <c r="C19" s="408" t="s">
        <v>498</v>
      </c>
      <c r="D19" s="415"/>
      <c r="E19" s="415"/>
      <c r="F19" s="415"/>
      <c r="G19" s="411"/>
      <c r="H19" s="482"/>
      <c r="I19" s="537"/>
      <c r="J19" s="472"/>
    </row>
    <row r="20" spans="1:10" x14ac:dyDescent="0.25">
      <c r="A20" s="420"/>
      <c r="B20" s="415"/>
      <c r="C20" s="408" t="s">
        <v>77</v>
      </c>
      <c r="D20" s="415"/>
      <c r="E20" s="415"/>
      <c r="F20" s="415"/>
      <c r="G20" s="479"/>
      <c r="H20" s="482">
        <f>G19+G20</f>
        <v>0</v>
      </c>
      <c r="I20" s="537" t="str">
        <f>IF(H20&lt;&gt;0,0,"NIL")</f>
        <v>NIL</v>
      </c>
      <c r="J20" s="472"/>
    </row>
    <row r="21" spans="1:10" ht="20.100000000000001" customHeight="1" x14ac:dyDescent="0.25">
      <c r="A21" s="420"/>
      <c r="B21" s="421" t="s">
        <v>998</v>
      </c>
      <c r="C21" s="415"/>
      <c r="D21" s="415"/>
      <c r="E21" s="415"/>
      <c r="F21" s="415"/>
      <c r="G21" s="415"/>
      <c r="H21" s="482"/>
      <c r="I21" s="536"/>
      <c r="J21" s="471"/>
    </row>
    <row r="22" spans="1:10" x14ac:dyDescent="0.25">
      <c r="A22" s="420"/>
      <c r="B22" s="636"/>
      <c r="C22" s="431"/>
      <c r="D22" s="431"/>
      <c r="E22" s="431"/>
      <c r="F22" s="415"/>
      <c r="G22" s="411"/>
      <c r="H22" s="482"/>
      <c r="I22" s="536"/>
      <c r="J22" s="471"/>
    </row>
    <row r="23" spans="1:10" x14ac:dyDescent="0.25">
      <c r="A23" s="420"/>
      <c r="B23" s="636"/>
      <c r="C23" s="431" t="s">
        <v>1176</v>
      </c>
      <c r="D23" s="431"/>
      <c r="E23" s="431"/>
      <c r="F23" s="408"/>
      <c r="G23" s="411">
        <v>300000</v>
      </c>
      <c r="H23" s="482"/>
      <c r="I23" s="536"/>
      <c r="J23" s="471"/>
    </row>
    <row r="24" spans="1:10" x14ac:dyDescent="0.25">
      <c r="A24" s="420"/>
      <c r="B24" s="589"/>
      <c r="C24" s="431" t="s">
        <v>1125</v>
      </c>
      <c r="D24" s="431"/>
      <c r="E24" s="431">
        <v>31000</v>
      </c>
      <c r="F24" s="431"/>
      <c r="G24" s="462"/>
      <c r="H24" s="482"/>
      <c r="I24" s="536"/>
      <c r="J24" s="471"/>
    </row>
    <row r="25" spans="1:10" ht="15" customHeight="1" x14ac:dyDescent="0.3">
      <c r="A25" s="420"/>
      <c r="B25" s="589"/>
      <c r="C25" s="431"/>
      <c r="D25" s="434"/>
      <c r="E25" s="433"/>
      <c r="F25" s="433"/>
      <c r="G25" s="480">
        <f>SUM(G22:G24)</f>
        <v>300000</v>
      </c>
      <c r="H25" s="482"/>
      <c r="I25" s="536"/>
      <c r="J25" s="471"/>
    </row>
    <row r="26" spans="1:10" ht="15" hidden="1" customHeight="1" x14ac:dyDescent="0.25">
      <c r="A26" s="420"/>
      <c r="B26" s="589"/>
      <c r="C26" s="435" t="s">
        <v>512</v>
      </c>
      <c r="D26" s="436"/>
      <c r="E26" s="436"/>
      <c r="F26" s="436"/>
      <c r="G26" s="437"/>
      <c r="H26" s="482"/>
      <c r="I26" s="536"/>
      <c r="J26" s="471"/>
    </row>
    <row r="27" spans="1:10" ht="15" hidden="1" customHeight="1" x14ac:dyDescent="0.25">
      <c r="A27" s="420"/>
      <c r="B27" s="589"/>
      <c r="G27" s="410"/>
      <c r="H27" s="482"/>
      <c r="I27" s="536"/>
      <c r="J27" s="471"/>
    </row>
    <row r="28" spans="1:10" ht="15" hidden="1" customHeight="1" x14ac:dyDescent="0.25">
      <c r="A28" s="420"/>
      <c r="B28" s="589"/>
      <c r="G28" s="410"/>
      <c r="H28" s="482"/>
      <c r="I28" s="536"/>
      <c r="J28" s="471"/>
    </row>
    <row r="29" spans="1:10" ht="15" hidden="1" customHeight="1" x14ac:dyDescent="0.25">
      <c r="A29" s="420"/>
      <c r="B29" s="589"/>
      <c r="C29" s="436" t="s">
        <v>846</v>
      </c>
      <c r="D29" s="436"/>
      <c r="E29" s="415"/>
      <c r="F29" s="438"/>
      <c r="G29" s="437"/>
      <c r="H29" s="482"/>
      <c r="I29" s="536"/>
      <c r="J29" s="471"/>
    </row>
    <row r="30" spans="1:10" ht="15" hidden="1" customHeight="1" x14ac:dyDescent="0.25">
      <c r="A30" s="420"/>
      <c r="B30" s="589"/>
      <c r="C30" s="432" t="s">
        <v>847</v>
      </c>
      <c r="D30" s="415"/>
      <c r="E30" s="415"/>
      <c r="F30" s="461">
        <f>ROUND(IF(F29/3&gt;15000,15000,F29/3),0)</f>
        <v>0</v>
      </c>
      <c r="G30" s="447">
        <f>F29-F30</f>
        <v>0</v>
      </c>
      <c r="H30" s="482"/>
      <c r="I30" s="536"/>
      <c r="J30" s="471"/>
    </row>
    <row r="31" spans="1:10" ht="15" hidden="1" customHeight="1" x14ac:dyDescent="0.25">
      <c r="A31" s="420"/>
      <c r="B31" s="589"/>
      <c r="C31" s="415"/>
      <c r="D31" s="415"/>
      <c r="E31" s="415"/>
      <c r="F31" s="415"/>
      <c r="G31" s="480">
        <f>SUM(G27:G30)</f>
        <v>0</v>
      </c>
      <c r="H31" s="484"/>
      <c r="J31" s="472"/>
    </row>
    <row r="32" spans="1:10" ht="15" customHeight="1" x14ac:dyDescent="0.25">
      <c r="A32" s="420"/>
      <c r="B32" s="589"/>
      <c r="C32" s="415"/>
      <c r="D32" s="415"/>
      <c r="E32" s="415"/>
      <c r="F32" s="415"/>
      <c r="G32" s="437"/>
      <c r="H32" s="482">
        <f>G25+G31</f>
        <v>300000</v>
      </c>
      <c r="I32" s="537">
        <f>IF(H32&lt;&gt;0,0,"NIL")</f>
        <v>0</v>
      </c>
      <c r="J32" s="472"/>
    </row>
    <row r="33" spans="1:10" ht="15" hidden="1" customHeight="1" x14ac:dyDescent="0.3">
      <c r="A33" s="420"/>
      <c r="B33" s="589"/>
      <c r="C33" s="439" t="s">
        <v>564</v>
      </c>
      <c r="D33" s="436"/>
      <c r="E33" s="436"/>
      <c r="F33" s="440"/>
      <c r="G33" s="437"/>
      <c r="H33" s="484"/>
      <c r="J33" s="472"/>
    </row>
    <row r="34" spans="1:10" ht="12.75" hidden="1" customHeight="1" x14ac:dyDescent="0.25">
      <c r="A34" s="420"/>
      <c r="B34" s="421"/>
      <c r="C34" s="409" t="s">
        <v>851</v>
      </c>
      <c r="D34" s="436"/>
      <c r="E34" s="441"/>
      <c r="F34" s="442"/>
      <c r="G34" s="430"/>
      <c r="H34" s="482"/>
      <c r="I34" s="536"/>
      <c r="J34" s="471"/>
    </row>
    <row r="35" spans="1:10" ht="12.75" hidden="1" customHeight="1" x14ac:dyDescent="0.25">
      <c r="A35" s="420"/>
      <c r="B35" s="421"/>
      <c r="C35" s="409" t="s">
        <v>981</v>
      </c>
      <c r="D35" s="436"/>
      <c r="E35" s="441"/>
      <c r="F35" s="442"/>
      <c r="G35" s="430"/>
      <c r="H35" s="482"/>
      <c r="I35" s="536"/>
      <c r="J35" s="471"/>
    </row>
    <row r="36" spans="1:10" ht="12.75" hidden="1" customHeight="1" x14ac:dyDescent="0.25">
      <c r="A36" s="420"/>
      <c r="B36" s="421"/>
      <c r="C36" s="409" t="s">
        <v>982</v>
      </c>
      <c r="D36" s="436"/>
      <c r="E36" s="441"/>
      <c r="F36" s="442"/>
      <c r="G36" s="430"/>
      <c r="H36" s="482"/>
      <c r="I36" s="536"/>
      <c r="J36" s="471"/>
    </row>
    <row r="37" spans="1:10" ht="12.75" hidden="1" customHeight="1" x14ac:dyDescent="0.25">
      <c r="A37" s="420"/>
      <c r="B37" s="421"/>
      <c r="C37" s="409" t="s">
        <v>983</v>
      </c>
      <c r="D37" s="436"/>
      <c r="E37" s="415"/>
      <c r="F37" s="442"/>
      <c r="G37" s="430"/>
      <c r="H37" s="482"/>
      <c r="I37" s="536"/>
      <c r="J37" s="471"/>
    </row>
    <row r="38" spans="1:10" ht="12.75" hidden="1" customHeight="1" thickBot="1" x14ac:dyDescent="0.3">
      <c r="A38" s="420"/>
      <c r="B38" s="428"/>
      <c r="C38" s="435"/>
      <c r="D38" s="436"/>
      <c r="E38" s="415"/>
      <c r="F38" s="443">
        <f>SUM(F34:F37)</f>
        <v>0</v>
      </c>
      <c r="G38" s="437"/>
      <c r="H38" s="484"/>
      <c r="J38" s="471"/>
    </row>
    <row r="39" spans="1:10" ht="12.75" customHeight="1" x14ac:dyDescent="0.25">
      <c r="A39" s="420"/>
      <c r="B39" s="428"/>
      <c r="C39" s="435"/>
      <c r="D39" s="436"/>
      <c r="E39" s="415"/>
      <c r="F39" s="444"/>
      <c r="G39" s="437"/>
      <c r="H39" s="484"/>
      <c r="I39" s="538"/>
      <c r="J39" s="534"/>
    </row>
    <row r="40" spans="1:10" ht="15" customHeight="1" x14ac:dyDescent="0.25">
      <c r="A40" s="420"/>
      <c r="B40" s="421" t="s">
        <v>501</v>
      </c>
      <c r="C40" s="415"/>
      <c r="D40" s="415"/>
      <c r="E40" s="428"/>
      <c r="F40" s="428"/>
      <c r="G40" s="424"/>
      <c r="H40" s="485">
        <f>SUM(H8:H38)</f>
        <v>3580000</v>
      </c>
      <c r="I40" s="537">
        <f>IF(H40&lt;&gt;0,0,"NIL")</f>
        <v>0</v>
      </c>
      <c r="J40" s="472"/>
    </row>
    <row r="41" spans="1:10" ht="15" customHeight="1" x14ac:dyDescent="0.25">
      <c r="A41" s="420"/>
      <c r="B41" s="445" t="s">
        <v>999</v>
      </c>
      <c r="C41" s="415"/>
      <c r="D41" s="415"/>
      <c r="E41" s="415"/>
      <c r="F41" s="415"/>
      <c r="G41" s="415"/>
      <c r="H41" s="482"/>
      <c r="I41" s="536"/>
      <c r="J41" s="471"/>
    </row>
    <row r="42" spans="1:10" ht="12.75" customHeight="1" x14ac:dyDescent="0.25">
      <c r="A42" s="420"/>
      <c r="B42" s="446"/>
      <c r="C42" s="435" t="s">
        <v>1080</v>
      </c>
      <c r="D42" s="415"/>
      <c r="E42" s="415"/>
      <c r="F42" s="415"/>
      <c r="G42" s="423"/>
      <c r="H42" s="482"/>
      <c r="I42" s="536"/>
      <c r="J42" s="471"/>
    </row>
    <row r="43" spans="1:10" ht="12.75" hidden="1" customHeight="1" x14ac:dyDescent="0.25">
      <c r="A43" s="420"/>
      <c r="B43" s="446"/>
      <c r="C43" s="431" t="s">
        <v>510</v>
      </c>
      <c r="D43" s="415"/>
      <c r="E43" s="415"/>
      <c r="F43" s="411"/>
      <c r="G43" s="423"/>
      <c r="H43" s="482"/>
      <c r="I43" s="536"/>
      <c r="J43" s="471"/>
    </row>
    <row r="44" spans="1:10" ht="12.75" hidden="1" customHeight="1" x14ac:dyDescent="0.25">
      <c r="A44" s="420"/>
      <c r="B44" s="446"/>
      <c r="C44" s="431" t="s">
        <v>1081</v>
      </c>
      <c r="D44" s="415"/>
      <c r="E44" s="415"/>
      <c r="F44" s="411"/>
      <c r="G44" s="423"/>
      <c r="H44" s="482"/>
      <c r="I44" s="536"/>
      <c r="J44" s="471"/>
    </row>
    <row r="45" spans="1:10" ht="12.75" hidden="1" customHeight="1" x14ac:dyDescent="0.25">
      <c r="A45" s="420"/>
      <c r="B45" s="446"/>
      <c r="C45" s="431" t="s">
        <v>985</v>
      </c>
      <c r="D45" s="415"/>
      <c r="E45" s="415"/>
      <c r="F45" s="411"/>
      <c r="G45" s="423"/>
      <c r="H45" s="482"/>
      <c r="I45" s="536"/>
      <c r="J45" s="471"/>
    </row>
    <row r="46" spans="1:10" ht="12.75" hidden="1" customHeight="1" x14ac:dyDescent="0.25">
      <c r="A46" s="420"/>
      <c r="B46" s="446"/>
      <c r="C46" s="431" t="s">
        <v>984</v>
      </c>
      <c r="D46" s="415"/>
      <c r="E46" s="415"/>
      <c r="F46" s="411"/>
      <c r="G46" s="423"/>
      <c r="H46" s="482"/>
      <c r="I46" s="536"/>
      <c r="J46" s="471"/>
    </row>
    <row r="47" spans="1:10" ht="12.75" customHeight="1" x14ac:dyDescent="0.25">
      <c r="A47" s="420"/>
      <c r="B47" s="446"/>
      <c r="C47" s="431" t="s">
        <v>1177</v>
      </c>
      <c r="D47" s="415"/>
      <c r="E47" s="415"/>
      <c r="F47" s="411">
        <v>60000</v>
      </c>
      <c r="G47" s="423"/>
      <c r="H47" s="482"/>
      <c r="I47" s="536"/>
      <c r="J47" s="471"/>
    </row>
    <row r="48" spans="1:10" ht="12.75" customHeight="1" x14ac:dyDescent="0.25">
      <c r="A48" s="420"/>
      <c r="B48" s="446"/>
      <c r="C48" s="431" t="s">
        <v>1149</v>
      </c>
      <c r="D48" s="415"/>
      <c r="E48" s="415"/>
      <c r="F48" s="411">
        <v>30000</v>
      </c>
      <c r="G48" s="423"/>
      <c r="H48" s="482"/>
      <c r="I48" s="536"/>
      <c r="J48" s="471"/>
    </row>
    <row r="49" spans="1:10" ht="12.75" customHeight="1" x14ac:dyDescent="0.25">
      <c r="A49" s="420"/>
      <c r="B49" s="446"/>
      <c r="C49" s="431" t="s">
        <v>509</v>
      </c>
      <c r="D49" s="415"/>
      <c r="E49" s="415"/>
      <c r="F49" s="411">
        <v>80000</v>
      </c>
      <c r="G49" s="423"/>
      <c r="H49" s="482"/>
      <c r="I49" s="536"/>
      <c r="J49" s="471"/>
    </row>
    <row r="50" spans="1:10" ht="12.75" hidden="1" customHeight="1" x14ac:dyDescent="0.25">
      <c r="A50" s="420"/>
      <c r="B50" s="446"/>
      <c r="C50" s="431" t="s">
        <v>986</v>
      </c>
      <c r="D50" s="415"/>
      <c r="E50" s="415"/>
      <c r="F50" s="411"/>
      <c r="G50" s="423"/>
      <c r="H50" s="482"/>
      <c r="I50" s="536"/>
      <c r="J50" s="471"/>
    </row>
    <row r="51" spans="1:10" ht="12.75" hidden="1" customHeight="1" x14ac:dyDescent="0.25">
      <c r="A51" s="420"/>
      <c r="B51" s="446"/>
      <c r="C51" s="431" t="s">
        <v>987</v>
      </c>
      <c r="D51" s="415"/>
      <c r="E51" s="415"/>
      <c r="F51" s="411"/>
      <c r="G51" s="423"/>
      <c r="H51" s="482"/>
      <c r="I51" s="536"/>
      <c r="J51" s="471"/>
    </row>
    <row r="52" spans="1:10" ht="12.75" hidden="1" customHeight="1" x14ac:dyDescent="0.25">
      <c r="A52" s="420"/>
      <c r="B52" s="446"/>
      <c r="C52" s="431" t="s">
        <v>988</v>
      </c>
      <c r="D52" s="415"/>
      <c r="E52" s="415"/>
      <c r="F52" s="411"/>
      <c r="G52" s="423"/>
      <c r="H52" s="482"/>
      <c r="I52" s="536"/>
      <c r="J52" s="471"/>
    </row>
    <row r="53" spans="1:10" ht="12.75" hidden="1" customHeight="1" x14ac:dyDescent="0.25">
      <c r="A53" s="420"/>
      <c r="B53" s="446"/>
      <c r="C53" s="431" t="s">
        <v>989</v>
      </c>
      <c r="D53" s="415"/>
      <c r="E53" s="415"/>
      <c r="F53" s="411"/>
      <c r="G53" s="423"/>
      <c r="H53" s="482"/>
      <c r="I53" s="536"/>
      <c r="J53" s="471"/>
    </row>
    <row r="54" spans="1:10" ht="12.75" customHeight="1" x14ac:dyDescent="0.25">
      <c r="A54" s="420"/>
      <c r="B54" s="446"/>
      <c r="C54" s="431" t="s">
        <v>1178</v>
      </c>
      <c r="D54" s="415"/>
      <c r="E54" s="415"/>
      <c r="F54" s="411">
        <v>18000</v>
      </c>
      <c r="G54" s="423"/>
      <c r="H54" s="482"/>
      <c r="I54" s="536"/>
      <c r="J54" s="471"/>
    </row>
    <row r="55" spans="1:10" ht="15" customHeight="1" x14ac:dyDescent="0.25">
      <c r="A55" s="420"/>
      <c r="B55" s="446"/>
      <c r="C55" s="431"/>
      <c r="D55" s="415"/>
      <c r="E55" s="415"/>
      <c r="F55" s="448">
        <f>SUM(F43:F54)</f>
        <v>188000</v>
      </c>
      <c r="G55" s="415">
        <f>IF(F55&gt;150000,150000,F55)</f>
        <v>150000</v>
      </c>
      <c r="H55" s="482"/>
      <c r="I55" s="536"/>
      <c r="J55" s="471"/>
    </row>
    <row r="56" spans="1:10" ht="15" customHeight="1" x14ac:dyDescent="0.25">
      <c r="A56" s="420"/>
      <c r="B56" s="446"/>
      <c r="C56" s="449" t="s">
        <v>1079</v>
      </c>
      <c r="D56" s="415"/>
      <c r="E56" s="415"/>
      <c r="F56" s="450"/>
      <c r="G56" s="411">
        <v>50000</v>
      </c>
      <c r="H56" s="482"/>
      <c r="I56" s="536"/>
      <c r="J56" s="471"/>
    </row>
    <row r="57" spans="1:10" ht="15" hidden="1" customHeight="1" x14ac:dyDescent="0.25">
      <c r="A57" s="420"/>
      <c r="B57" s="446"/>
      <c r="C57" s="449" t="s">
        <v>1078</v>
      </c>
      <c r="D57" s="415"/>
      <c r="E57" s="415"/>
      <c r="F57" s="450"/>
      <c r="G57" s="411"/>
      <c r="H57" s="482"/>
      <c r="I57" s="536"/>
      <c r="J57" s="471"/>
    </row>
    <row r="58" spans="1:10" ht="15" hidden="1" customHeight="1" x14ac:dyDescent="0.25">
      <c r="A58" s="420"/>
      <c r="B58" s="446"/>
      <c r="C58" s="449" t="s">
        <v>852</v>
      </c>
      <c r="D58" s="415"/>
      <c r="E58" s="415"/>
      <c r="F58" s="450"/>
      <c r="G58" s="411"/>
      <c r="H58" s="482"/>
      <c r="I58" s="536"/>
      <c r="J58" s="471"/>
    </row>
    <row r="59" spans="1:10" ht="15" hidden="1" customHeight="1" x14ac:dyDescent="0.25">
      <c r="A59" s="420"/>
      <c r="B59" s="446"/>
      <c r="C59" s="449" t="s">
        <v>611</v>
      </c>
      <c r="D59" s="415"/>
      <c r="E59" s="415"/>
      <c r="F59" s="415"/>
      <c r="G59" s="411"/>
      <c r="H59" s="482"/>
      <c r="I59" s="536"/>
      <c r="J59" s="471"/>
    </row>
    <row r="60" spans="1:10" ht="15" customHeight="1" x14ac:dyDescent="0.25">
      <c r="A60" s="420"/>
      <c r="B60" s="415"/>
      <c r="C60" s="449" t="s">
        <v>979</v>
      </c>
      <c r="D60" s="415"/>
      <c r="E60" s="428"/>
      <c r="F60" s="428"/>
      <c r="G60" s="447">
        <f>IF(G22&gt;10000, 10000, G22)</f>
        <v>0</v>
      </c>
      <c r="H60" s="482"/>
      <c r="I60" s="536"/>
      <c r="J60" s="471"/>
    </row>
    <row r="61" spans="1:10" x14ac:dyDescent="0.25">
      <c r="A61" s="420"/>
      <c r="B61" s="415"/>
      <c r="C61" s="543" t="s">
        <v>853</v>
      </c>
      <c r="D61" s="415"/>
      <c r="E61" s="428"/>
      <c r="F61" s="428"/>
      <c r="G61" s="411"/>
      <c r="H61" s="482">
        <f>SUM(G55:G61)</f>
        <v>200000</v>
      </c>
      <c r="I61" s="537">
        <f>IF(H61&lt;&gt;0,0,"NIL")</f>
        <v>0</v>
      </c>
      <c r="J61" s="472"/>
    </row>
    <row r="62" spans="1:10" ht="15.75" customHeight="1" thickBot="1" x14ac:dyDescent="0.3">
      <c r="A62" s="420"/>
      <c r="B62" s="451" t="s">
        <v>777</v>
      </c>
      <c r="C62" s="415"/>
      <c r="D62" s="415"/>
      <c r="E62" s="452">
        <f>IF((H40-H61)&lt;0,0,(H40-H61))</f>
        <v>3380000</v>
      </c>
      <c r="F62" s="453" t="s">
        <v>779</v>
      </c>
      <c r="G62" s="440"/>
      <c r="H62" s="486">
        <f>ROUND((E62/10),0)*10</f>
        <v>3380000</v>
      </c>
      <c r="I62" s="539">
        <f>IF(H62&lt;&gt;0,0,"NIL")</f>
        <v>0</v>
      </c>
      <c r="J62" s="475"/>
    </row>
    <row r="63" spans="1:10" ht="15" customHeight="1" thickTop="1" x14ac:dyDescent="0.25">
      <c r="A63" s="420"/>
      <c r="B63" s="450" t="s">
        <v>778</v>
      </c>
      <c r="C63" s="415"/>
      <c r="D63" s="415"/>
      <c r="E63" s="444" t="s">
        <v>521</v>
      </c>
      <c r="F63" s="454" t="s">
        <v>522</v>
      </c>
      <c r="G63" s="444" t="s">
        <v>524</v>
      </c>
      <c r="H63" s="487"/>
      <c r="J63" s="471"/>
    </row>
    <row r="64" spans="1:10" ht="15" customHeight="1" x14ac:dyDescent="0.25">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x14ac:dyDescent="0.25">
      <c r="A65" s="420"/>
      <c r="B65" s="450"/>
      <c r="C65" s="408" t="s">
        <v>519</v>
      </c>
      <c r="D65" s="415"/>
      <c r="E65" s="410"/>
      <c r="F65" s="457">
        <v>0.15</v>
      </c>
      <c r="G65" s="523"/>
      <c r="H65" s="484"/>
      <c r="J65" s="471"/>
    </row>
    <row r="66" spans="1:10" ht="15" hidden="1" customHeight="1" x14ac:dyDescent="0.25">
      <c r="A66" s="420"/>
      <c r="B66" s="415"/>
      <c r="C66" s="415"/>
      <c r="D66" s="456"/>
      <c r="E66" s="428"/>
      <c r="F66" s="415"/>
      <c r="G66" s="526">
        <f>G64+G65</f>
        <v>834000</v>
      </c>
      <c r="H66" s="488"/>
      <c r="I66" s="537"/>
      <c r="J66" s="472"/>
    </row>
    <row r="67" spans="1:10" ht="15" customHeight="1" x14ac:dyDescent="0.25">
      <c r="A67" s="420"/>
      <c r="C67" s="524" t="s">
        <v>1015</v>
      </c>
      <c r="D67" s="456"/>
      <c r="E67" s="428"/>
      <c r="F67" s="415"/>
      <c r="G67" s="527">
        <f>IF(H62&gt;500000,0,IF(G66&gt;2000,2000,G66))</f>
        <v>0</v>
      </c>
      <c r="H67" s="489">
        <f>G66-G67</f>
        <v>834000</v>
      </c>
      <c r="I67" s="537">
        <f>IF(H67&lt;&gt;0,0,"NIL")</f>
        <v>0</v>
      </c>
      <c r="J67" s="472"/>
    </row>
    <row r="68" spans="1:10" ht="15" customHeight="1" x14ac:dyDescent="0.25">
      <c r="A68" s="420"/>
      <c r="B68" s="408" t="s">
        <v>774</v>
      </c>
      <c r="C68" s="415"/>
      <c r="D68" s="456"/>
      <c r="E68" s="428"/>
      <c r="F68" s="415"/>
      <c r="G68" s="428"/>
      <c r="H68" s="489">
        <f>ROUND((H67)*0.02,0)</f>
        <v>16680</v>
      </c>
      <c r="I68" s="537">
        <f>IF(H68&lt;&gt;0,0,"NIL")</f>
        <v>0</v>
      </c>
      <c r="J68" s="472"/>
    </row>
    <row r="69" spans="1:10" ht="15" customHeight="1" x14ac:dyDescent="0.25">
      <c r="A69" s="420"/>
      <c r="B69" s="408" t="s">
        <v>775</v>
      </c>
      <c r="C69" s="415"/>
      <c r="D69" s="456"/>
      <c r="E69" s="458"/>
      <c r="F69" s="415"/>
      <c r="G69" s="428"/>
      <c r="H69" s="528">
        <f>ROUND((H67)*0.01,0)</f>
        <v>8340</v>
      </c>
      <c r="I69" s="540">
        <f>IF(H69&lt;&gt;0,0,"NIL")</f>
        <v>0</v>
      </c>
      <c r="J69" s="474"/>
    </row>
    <row r="70" spans="1:10" ht="15" customHeight="1" x14ac:dyDescent="0.25">
      <c r="A70" s="420"/>
      <c r="B70" s="450" t="s">
        <v>565</v>
      </c>
      <c r="C70" s="415"/>
      <c r="D70" s="456"/>
      <c r="E70" s="458"/>
      <c r="F70" s="415"/>
      <c r="G70" s="428"/>
      <c r="H70" s="488">
        <f>SUM(H67:H69)</f>
        <v>859020</v>
      </c>
      <c r="I70" s="537"/>
      <c r="J70" s="472"/>
    </row>
    <row r="71" spans="1:10" ht="15" hidden="1" customHeight="1" x14ac:dyDescent="0.25">
      <c r="A71" s="420"/>
      <c r="B71" s="427"/>
      <c r="C71" s="428"/>
      <c r="D71" s="428"/>
      <c r="E71" s="428"/>
      <c r="F71" s="428"/>
      <c r="G71" s="428"/>
      <c r="H71" s="528"/>
      <c r="I71" s="540"/>
      <c r="J71" s="473"/>
    </row>
    <row r="72" spans="1:10" ht="15" hidden="1" customHeight="1" x14ac:dyDescent="0.25">
      <c r="A72" s="420"/>
      <c r="B72" s="450"/>
      <c r="C72" s="428"/>
      <c r="D72" s="428"/>
      <c r="E72" s="428"/>
      <c r="F72" s="428"/>
      <c r="G72" s="428"/>
      <c r="H72" s="491">
        <f>H70+H71</f>
        <v>859020</v>
      </c>
      <c r="I72" s="537"/>
      <c r="J72" s="472"/>
    </row>
    <row r="73" spans="1:10" ht="15" customHeight="1" x14ac:dyDescent="0.25">
      <c r="A73" s="420"/>
      <c r="B73" s="415" t="s">
        <v>523</v>
      </c>
      <c r="C73" s="428"/>
      <c r="D73" s="428"/>
      <c r="E73" s="428"/>
      <c r="F73" s="428"/>
      <c r="G73" s="428"/>
      <c r="H73" s="492">
        <f>IF(Data!E2&gt;19814, Intt!I1, IF(H17&gt;0, Intt!I1,0))</f>
        <v>0</v>
      </c>
      <c r="I73" s="540" t="str">
        <f>IF(H73&lt;&gt;0,0,"NIL")</f>
        <v>NIL</v>
      </c>
      <c r="J73" s="473"/>
    </row>
    <row r="74" spans="1:10" ht="15" customHeight="1" x14ac:dyDescent="0.25">
      <c r="A74" s="420"/>
      <c r="B74" s="450" t="s">
        <v>768</v>
      </c>
      <c r="C74" s="428"/>
      <c r="D74" s="428"/>
      <c r="E74" s="428"/>
      <c r="F74" s="428"/>
      <c r="G74" s="428"/>
      <c r="H74" s="490">
        <f>H72+H73</f>
        <v>859020</v>
      </c>
      <c r="I74" s="537">
        <f>IF(H74&lt;&gt;0,0,"NIL")</f>
        <v>0</v>
      </c>
      <c r="J74" s="472"/>
    </row>
    <row r="75" spans="1:10" ht="15" customHeight="1" x14ac:dyDescent="0.25">
      <c r="A75" s="420"/>
      <c r="B75" s="421" t="s">
        <v>571</v>
      </c>
      <c r="C75" s="428"/>
      <c r="D75" s="428"/>
      <c r="E75" s="428"/>
      <c r="F75" s="428"/>
      <c r="G75" s="428"/>
      <c r="H75" s="490"/>
      <c r="I75" s="537"/>
      <c r="J75" s="471"/>
    </row>
    <row r="76" spans="1:10" ht="15" customHeight="1" x14ac:dyDescent="0.3">
      <c r="A76" s="420"/>
      <c r="B76" s="667">
        <v>42272</v>
      </c>
      <c r="C76" s="1340" t="s">
        <v>993</v>
      </c>
      <c r="D76" s="1340"/>
      <c r="E76" s="1340"/>
      <c r="F76" s="1340"/>
      <c r="G76" s="447">
        <v>48000</v>
      </c>
      <c r="H76" s="482"/>
      <c r="I76" s="536"/>
      <c r="J76" s="472"/>
    </row>
    <row r="77" spans="1:10" ht="15" customHeight="1" x14ac:dyDescent="0.3">
      <c r="A77" s="420"/>
      <c r="B77" s="588">
        <f>SUM(G76:G78)</f>
        <v>378000</v>
      </c>
      <c r="C77" s="1340" t="s">
        <v>1180</v>
      </c>
      <c r="D77" s="1340"/>
      <c r="E77" s="1340"/>
      <c r="F77" s="1340"/>
      <c r="G77" s="410">
        <v>300000</v>
      </c>
      <c r="H77" s="482"/>
      <c r="I77" s="536"/>
      <c r="J77" s="472"/>
    </row>
    <row r="78" spans="1:10" ht="12.75" customHeight="1" x14ac:dyDescent="0.3">
      <c r="A78" s="420"/>
      <c r="B78" s="459"/>
      <c r="C78" s="1340" t="s">
        <v>1179</v>
      </c>
      <c r="D78" s="1340"/>
      <c r="E78" s="1340"/>
      <c r="F78" s="1340"/>
      <c r="G78" s="410">
        <v>30000</v>
      </c>
      <c r="H78" s="482"/>
      <c r="I78" s="536"/>
      <c r="J78" s="472"/>
    </row>
    <row r="79" spans="1:10" ht="12.75" customHeight="1" thickBot="1" x14ac:dyDescent="0.35">
      <c r="A79" s="414"/>
      <c r="B79" s="477"/>
      <c r="C79" s="1342" t="s">
        <v>1181</v>
      </c>
      <c r="D79" s="1342"/>
      <c r="E79" s="1342"/>
      <c r="F79" s="1342"/>
      <c r="G79" s="481">
        <f>IF(H74-SUM(G76:G78)&gt;0,(H74-SUM(G76:G78)),0)</f>
        <v>481020</v>
      </c>
      <c r="H79" s="493">
        <f>SUM(G76:G79)</f>
        <v>859020</v>
      </c>
      <c r="I79" s="541">
        <f>IF(H79&lt;&gt;0,0,"NIL")</f>
        <v>0</v>
      </c>
      <c r="J79" s="478"/>
    </row>
    <row r="80" spans="1:10" ht="18" customHeight="1" thickBot="1" x14ac:dyDescent="0.3">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x14ac:dyDescent="0.25">
      <c r="A81" s="567"/>
      <c r="B81" s="570"/>
      <c r="C81" s="570"/>
      <c r="D81" s="570"/>
      <c r="E81" s="570"/>
      <c r="F81" s="570"/>
      <c r="G81" s="570"/>
      <c r="H81" s="570"/>
      <c r="I81" s="568"/>
      <c r="J81" s="569"/>
      <c r="K81" s="554"/>
    </row>
    <row r="82" spans="1:11" x14ac:dyDescent="0.25">
      <c r="A82" s="567"/>
      <c r="B82" s="554"/>
      <c r="C82" s="554"/>
      <c r="D82" s="554"/>
      <c r="E82" s="554"/>
      <c r="F82" s="554"/>
      <c r="G82" s="554"/>
      <c r="H82" s="554"/>
      <c r="I82" s="568"/>
      <c r="J82" s="569"/>
      <c r="K82" s="554"/>
    </row>
    <row r="83" spans="1:11" x14ac:dyDescent="0.25">
      <c r="A83" s="567"/>
      <c r="B83" s="554"/>
      <c r="C83" s="554"/>
      <c r="D83" s="554"/>
      <c r="E83" s="554"/>
      <c r="F83" s="554"/>
      <c r="G83" s="554"/>
      <c r="H83" s="554"/>
      <c r="I83" s="568"/>
      <c r="J83" s="569"/>
      <c r="K83" s="554"/>
    </row>
    <row r="84" spans="1:11" x14ac:dyDescent="0.25">
      <c r="A84" s="567"/>
      <c r="B84" s="554"/>
      <c r="C84" s="554"/>
      <c r="D84" s="554"/>
      <c r="E84" s="554"/>
      <c r="F84" s="554"/>
      <c r="G84" s="554"/>
      <c r="H84" s="554"/>
      <c r="I84" s="568"/>
      <c r="J84" s="569"/>
      <c r="K84" s="554"/>
    </row>
    <row r="85" spans="1:11" x14ac:dyDescent="0.25">
      <c r="A85" s="567"/>
      <c r="B85" s="554"/>
      <c r="C85" s="554"/>
      <c r="D85" s="554"/>
      <c r="E85" s="554"/>
      <c r="F85" s="554"/>
      <c r="G85" s="554"/>
      <c r="H85" s="554"/>
      <c r="I85" s="568"/>
      <c r="J85" s="569"/>
      <c r="K85" s="554"/>
    </row>
    <row r="86" spans="1:11" x14ac:dyDescent="0.25">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xr:uid="{00000000-0002-0000-0800-000000000000}">
      <formula1>"ICICI PRUDENTIAL PREM, BAJAJ ALLIANZ LIFE INSURANCE PREM., LIC  PREMIUM, ULIP PREMIUM"</formula1>
    </dataValidation>
    <dataValidation type="list" errorStyle="information" allowBlank="1" showInputMessage="1" showErrorMessage="1" sqref="D4:D6 E7" xr:uid="{00000000-0002-0000-08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ITR3-18</vt:lpstr>
      <vt:lpstr>ITR3-18+</vt:lpstr>
      <vt:lpstr>ITR3-19(R)</vt:lpstr>
      <vt:lpstr>ITR3-20(R) </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'ITR3-18'!Print_Area</vt:lpstr>
      <vt:lpstr>'ITR3-18+'!Print_Area</vt:lpstr>
      <vt:lpstr>'ITR3-19(R)'!Print_Area</vt:lpstr>
      <vt:lpstr>'ITR3-20(R) '!Print_Area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Tax Doctor</cp:lastModifiedBy>
  <cp:lastPrinted>2022-02-24T21:37:16Z</cp:lastPrinted>
  <dcterms:created xsi:type="dcterms:W3CDTF">1999-05-31T06:22:36Z</dcterms:created>
  <dcterms:modified xsi:type="dcterms:W3CDTF">2022-02-25T01:33:03Z</dcterms:modified>
</cp:coreProperties>
</file>