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222A5172-F1D3-434B-A25C-1C0EF52D91D3}" xr6:coauthVersionLast="47" xr6:coauthVersionMax="47" xr10:uidLastSave="{00000000-0000-0000-0000-000000000000}"/>
  <bookViews>
    <workbookView xWindow="-108" yWindow="-108" windowWidth="23256" windowHeight="12720" tabRatio="714" activeTab="1" xr2:uid="{00000000-000D-0000-FFFF-FFFF00000000}"/>
  </bookViews>
  <sheets>
    <sheet name="504" sheetId="20" r:id="rId1"/>
    <sheet name="ITR-3 (Partner)" sheetId="22" r:id="rId2"/>
    <sheet name="Sol-504" sheetId="21" r:id="rId3"/>
  </sheets>
  <externalReferences>
    <externalReference r:id="rId4"/>
    <externalReference r:id="rId5"/>
    <externalReference r:id="rId6"/>
    <externalReference r:id="rId7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2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2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2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2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Totalb">[2]ICDS!$F$17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2">#REF!</definedName>
    <definedName name="Nature_Amt">#REF!</definedName>
    <definedName name="Nature_Amt2" localSheetId="2">#REF!</definedName>
    <definedName name="Nature_Amt2">#REF!</definedName>
    <definedName name="Nature_Amt3" localSheetId="2">#REF!</definedName>
    <definedName name="Nature_Amt3">#REF!</definedName>
    <definedName name="Nature_Name" localSheetId="2">#REF!</definedName>
    <definedName name="Nature_Name">#REF!</definedName>
    <definedName name="Nature_Name2" localSheetId="2">#REF!</definedName>
    <definedName name="Nature_Name2">#REF!</definedName>
    <definedName name="Nature_Name3" localSheetId="2">#REF!</definedName>
    <definedName name="Nature_Name3">#REF!</definedName>
    <definedName name="Nature_of_Business">[1]DropDownValues!$O$5:$O$80</definedName>
    <definedName name="newbasicPB4">[3]Sheet1!$T$4:$T$37</definedName>
    <definedName name="NoAccount_PL" localSheetId="2">#REF!</definedName>
    <definedName name="NoAccount_PL">#REF!</definedName>
    <definedName name="NOB">[2]DropDownValues!$CA$3:$CA$10</definedName>
    <definedName name="NOB.Code">'[1]Nature Of Business'!$C$3:$C$5</definedName>
    <definedName name="NOB44AD">[2]DropDownValues!$CB$3:$CB$312</definedName>
    <definedName name="NOB44ADA">[2]DropDownValues!$CD$3:$CD$39</definedName>
    <definedName name="normalBalIncm">'[1]Tax Calculated'!$B$100</definedName>
    <definedName name="oldbasicPB4">[3]Sheet1!$S$4:$S$37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2">#REF!</definedName>
    <definedName name="PL.Advertisement">#REF!</definedName>
    <definedName name="PL.Amount_a" localSheetId="2">#REF!</definedName>
    <definedName name="PL.Amount_a">#REF!</definedName>
    <definedName name="PL.Amount_b" localSheetId="2">#REF!</definedName>
    <definedName name="PL.Amount_b">#REF!</definedName>
    <definedName name="PL.Amount_c" localSheetId="2">#REF!</definedName>
    <definedName name="PL.Amount_c">#REF!</definedName>
    <definedName name="PL.Amount_d" localSheetId="2">#REF!</definedName>
    <definedName name="PL.Amount_d">#REF!</definedName>
    <definedName name="PL.AmtAvlAppr" localSheetId="2">#REF!</definedName>
    <definedName name="PL.AmtAvlAppr">#REF!</definedName>
    <definedName name="PL.AmtPaidToNonRes" localSheetId="2">#REF!</definedName>
    <definedName name="PL.AmtPaidToNonRes">#REF!</definedName>
    <definedName name="PL.AnyCompPaidToNonRes" localSheetId="2">#REF!</definedName>
    <definedName name="PL.AnyCompPaidToNonRes">#REF!</definedName>
    <definedName name="PL.AuditFee" localSheetId="2">#REF!</definedName>
    <definedName name="PL.AuditFee">#REF!</definedName>
    <definedName name="PL.BadDebt" localSheetId="2">#REF!</definedName>
    <definedName name="PL.BadDebt">#REF!</definedName>
    <definedName name="PL.BalBFPrevYr" localSheetId="2">#REF!</definedName>
    <definedName name="PL.BalBFPrevYr">#REF!</definedName>
    <definedName name="PL.Bonus" localSheetId="2">#REF!</definedName>
    <definedName name="PL.Bonus">#REF!</definedName>
    <definedName name="PL.BusinessReceipts" localSheetId="2">#REF!</definedName>
    <definedName name="PL.BusinessReceipts">#REF!</definedName>
    <definedName name="PL.ClubExp" localSheetId="2">#REF!</definedName>
    <definedName name="PL.ClubExp">#REF!</definedName>
    <definedName name="PL.Comissions" localSheetId="2">#REF!</definedName>
    <definedName name="PL.Comissions">#REF!</definedName>
    <definedName name="PL.CommissionExpdr" localSheetId="2">#REF!</definedName>
    <definedName name="PL.CommissionExpdr">#REF!</definedName>
    <definedName name="PL.Conference" localSheetId="2">#REF!</definedName>
    <definedName name="PL.Conference">#REF!</definedName>
    <definedName name="PL.ConsumptionOfStores" localSheetId="2">#REF!</definedName>
    <definedName name="PL.ConsumptionOfStores">#REF!</definedName>
    <definedName name="PL.ContToGratFund" localSheetId="2">#REF!</definedName>
    <definedName name="PL.ContToGratFund">#REF!</definedName>
    <definedName name="PL.ContToOthFund" localSheetId="2">#REF!</definedName>
    <definedName name="PL.ContToOthFund">#REF!</definedName>
    <definedName name="PL.ContToPF" localSheetId="2">#REF!</definedName>
    <definedName name="PL.ContToPF">#REF!</definedName>
    <definedName name="PL.ContToSuperAnnFund" localSheetId="2">#REF!</definedName>
    <definedName name="PL.ContToSuperAnnFund">#REF!</definedName>
    <definedName name="PL.ConveyanceExp" localSheetId="2">#REF!</definedName>
    <definedName name="PL.ConveyanceExp">#REF!</definedName>
    <definedName name="PL.DepreciationAmort" localSheetId="2">#REF!</definedName>
    <definedName name="PL.DepreciationAmort">#REF!</definedName>
    <definedName name="PL.Dividends" localSheetId="2">#REF!</definedName>
    <definedName name="PL.Dividends">#REF!</definedName>
    <definedName name="PL.Donation" localSheetId="2">#REF!</definedName>
    <definedName name="PL.Donation">#REF!</definedName>
    <definedName name="PL.Entertainment" localSheetId="2">#REF!</definedName>
    <definedName name="PL.Entertainment">#REF!</definedName>
    <definedName name="PL.Expenses" localSheetId="2">#REF!</definedName>
    <definedName name="PL.Expenses">#REF!</definedName>
    <definedName name="PL.Expenses_ii" localSheetId="2">#REF!</definedName>
    <definedName name="PL.Expenses_ii">#REF!</definedName>
    <definedName name="PL.FestivalCelebExp" localSheetId="2">#REF!</definedName>
    <definedName name="PL.FestivalCelebExp">#REF!</definedName>
    <definedName name="PL.ForeignTravelExp" localSheetId="2">#REF!</definedName>
    <definedName name="PL.ForeignTravelExp">#REF!</definedName>
    <definedName name="PL.Freight" localSheetId="2">#REF!</definedName>
    <definedName name="PL.Freight">#REF!</definedName>
    <definedName name="PL.Gift" localSheetId="2">#REF!</definedName>
    <definedName name="PL.Gift">#REF!</definedName>
    <definedName name="PL.GrossProfit" localSheetId="2">#REF!</definedName>
    <definedName name="PL.GrossProfit">#REF!</definedName>
    <definedName name="PL.GrossProfit_ii" localSheetId="2">#REF!</definedName>
    <definedName name="PL.GrossProfit_ii">#REF!</definedName>
    <definedName name="PL.GrossReceipt" localSheetId="2">#REF!</definedName>
    <definedName name="PL.GrossReceipt">#REF!</definedName>
    <definedName name="PL.GrossReceipt_ii" localSheetId="2">#REF!</definedName>
    <definedName name="PL.GrossReceipt_ii">#REF!</definedName>
    <definedName name="PL.GrossReceipts" localSheetId="2">#REF!</definedName>
    <definedName name="PL.GrossReceipts">#REF!</definedName>
    <definedName name="PL.GuestHouseExp" localSheetId="2">#REF!</definedName>
    <definedName name="PL.GuestHouseExp">#REF!</definedName>
    <definedName name="PL.Hospitality" localSheetId="2">#REF!</definedName>
    <definedName name="PL.Hospitality">#REF!</definedName>
    <definedName name="PL.HotelBoardLodge" localSheetId="2">#REF!</definedName>
    <definedName name="PL.HotelBoardLodge">#REF!</definedName>
    <definedName name="PL.InterestExpdr" localSheetId="2">#REF!</definedName>
    <definedName name="PL.InterestExpdr">#REF!</definedName>
    <definedName name="PL.InterestInc" localSheetId="2">#REF!</definedName>
    <definedName name="PL.InterestInc">#REF!</definedName>
    <definedName name="PL.KeyManInsur" localSheetId="2">#REF!</definedName>
    <definedName name="PL.KeyManInsur">#REF!</definedName>
    <definedName name="PL.LeaveEncash" localSheetId="2">#REF!</definedName>
    <definedName name="PL.LeaveEncash">#REF!</definedName>
    <definedName name="PL.LeaveTravelBenft" localSheetId="2">#REF!</definedName>
    <definedName name="PL.LeaveTravelBenft">#REF!</definedName>
    <definedName name="PL.LifeInsur" localSheetId="2">#REF!</definedName>
    <definedName name="PL.LifeInsur">#REF!</definedName>
    <definedName name="PL.MedExpReimb" localSheetId="2">#REF!</definedName>
    <definedName name="PL.MedExpReimb">#REF!</definedName>
    <definedName name="PL.MedInsur" localSheetId="2">#REF!</definedName>
    <definedName name="PL.MedInsur">#REF!</definedName>
    <definedName name="PL.MiscOthIncome" localSheetId="2">#REF!</definedName>
    <definedName name="PL.MiscOthIncome">#REF!</definedName>
    <definedName name="PL.NatureOfIncome_a" localSheetId="2">#REF!</definedName>
    <definedName name="PL.NatureOfIncome_a">#REF!</definedName>
    <definedName name="PL.NatureOfIncome_b" localSheetId="2">#REF!</definedName>
    <definedName name="PL.NatureOfIncome_b">#REF!</definedName>
    <definedName name="PL.NatureOfIncome_c" localSheetId="2">#REF!</definedName>
    <definedName name="PL.NatureOfIncome_c">#REF!</definedName>
    <definedName name="PL.NatureOfIncome_d" localSheetId="2">#REF!</definedName>
    <definedName name="PL.NatureOfIncome_d">#REF!</definedName>
    <definedName name="PL.NetProfit" localSheetId="2">#REF!</definedName>
    <definedName name="PL.NetProfit">#REF!</definedName>
    <definedName name="PL.NetProfit_ii" localSheetId="2">#REF!</definedName>
    <definedName name="PL.NetProfit_ii">#REF!</definedName>
    <definedName name="PL.OpeningStock" localSheetId="2">#REF!</definedName>
    <definedName name="PL.OpeningStock">#REF!</definedName>
    <definedName name="PL.OperatingRevenueAmt_a" localSheetId="2">#REF!</definedName>
    <definedName name="PL.OperatingRevenueAmt_a">#REF!</definedName>
    <definedName name="PL.OperatingRevenueAmt_b" localSheetId="2">#REF!</definedName>
    <definedName name="PL.OperatingRevenueAmt_b">#REF!</definedName>
    <definedName name="PL.OperatingRevenueAmt_c" localSheetId="2">#REF!</definedName>
    <definedName name="PL.OperatingRevenueAmt_c">#REF!</definedName>
    <definedName name="PL.OperatingRevenueAmt_d" localSheetId="2">#REF!</definedName>
    <definedName name="PL.OperatingRevenueAmt_d">#REF!</definedName>
    <definedName name="PL.OperatingRevenueName_a" localSheetId="2">#REF!</definedName>
    <definedName name="PL.OperatingRevenueName_a">#REF!</definedName>
    <definedName name="PL.OperatingRevenueName_b" localSheetId="2">#REF!</definedName>
    <definedName name="PL.OperatingRevenueName_b">#REF!</definedName>
    <definedName name="PL.OperatingRevenueName_c" localSheetId="2">#REF!</definedName>
    <definedName name="PL.OperatingRevenueName_c">#REF!</definedName>
    <definedName name="PL.OperatingRevenueName_d" localSheetId="2">#REF!</definedName>
    <definedName name="PL.OperatingRevenueName_d">#REF!</definedName>
    <definedName name="PL.OperatingRevenueTotAmt" localSheetId="2">#REF!</definedName>
    <definedName name="PL.OperatingRevenueTotAmt">#REF!</definedName>
    <definedName name="PL.OthEmpBenftExpdr" localSheetId="2">#REF!</definedName>
    <definedName name="PL.OthEmpBenftExpdr">#REF!</definedName>
    <definedName name="PL.OtherExpenses" localSheetId="2">#REF!</definedName>
    <definedName name="PL.OtherExpenses">#REF!</definedName>
    <definedName name="PL.OthersAmtLt1Lakh" localSheetId="2">#REF!</definedName>
    <definedName name="PL.OthersAmtLt1Lakh">#REF!</definedName>
    <definedName name="PL.OthersWherePANNotAvlble" localSheetId="2">#REF!</definedName>
    <definedName name="PL.OthersWherePANNotAvlble">#REF!</definedName>
    <definedName name="PL.OthInsur" localSheetId="2">#REF!</definedName>
    <definedName name="PL.OthInsur">#REF!</definedName>
    <definedName name="PL.OthProvisionsExpdr" localSheetId="2">#REF!</definedName>
    <definedName name="PL.OthProvisionsExpdr">#REF!</definedName>
    <definedName name="PL.PartnerAccBalTrf" localSheetId="2">#REF!</definedName>
    <definedName name="PL.PartnerAccBalTrf">#REF!</definedName>
    <definedName name="PL.PBIDTA" localSheetId="2">#REF!</definedName>
    <definedName name="PL.PBIDTA">#REF!</definedName>
    <definedName name="PL.PBT" localSheetId="2">#REF!</definedName>
    <definedName name="PL.PBT">#REF!</definedName>
    <definedName name="PL.PowerFuel" localSheetId="2">#REF!</definedName>
    <definedName name="PL.PowerFuel">#REF!</definedName>
    <definedName name="PL.ProfitAfterTax" localSheetId="2">#REF!</definedName>
    <definedName name="PL.ProfitAfterTax">#REF!</definedName>
    <definedName name="PL.ProfitOnAgriIncome" localSheetId="2">#REF!</definedName>
    <definedName name="PL.ProfitOnAgriIncome">#REF!</definedName>
    <definedName name="PL.ProfitOnCurrFluct" localSheetId="2">#REF!</definedName>
    <definedName name="PL.ProfitOnCurrFluct">#REF!</definedName>
    <definedName name="PL.ProfitOnInvChrSTT" localSheetId="2">#REF!</definedName>
    <definedName name="PL.ProfitOnInvChrSTT">#REF!</definedName>
    <definedName name="PL.ProfitOnOthInv" localSheetId="2">#REF!</definedName>
    <definedName name="PL.ProfitOnOthInv">#REF!</definedName>
    <definedName name="PL.ProfitOnSaleFixedAsset" localSheetId="2">#REF!</definedName>
    <definedName name="PL.ProfitOnSaleFixedAsset">#REF!</definedName>
    <definedName name="PL.ProvDefTax" localSheetId="2">#REF!</definedName>
    <definedName name="PL.ProvDefTax">#REF!</definedName>
    <definedName name="PL.ProvForBadDoubtDebt" localSheetId="2">#REF!</definedName>
    <definedName name="PL.ProvForBadDoubtDebt">#REF!</definedName>
    <definedName name="PL.ProvForCurrTax" localSheetId="2">#REF!</definedName>
    <definedName name="PL.ProvForCurrTax">#REF!</definedName>
    <definedName name="PL.Purchases" localSheetId="2">#REF!</definedName>
    <definedName name="PL.Purchases">#REF!</definedName>
    <definedName name="PL.RentExpdr" localSheetId="2">#REF!</definedName>
    <definedName name="PL.RentExpdr">#REF!</definedName>
    <definedName name="PL.RentInc" localSheetId="2">#REF!</definedName>
    <definedName name="PL.RentInc">#REF!</definedName>
    <definedName name="PL.RepairMach" localSheetId="2">#REF!</definedName>
    <definedName name="PL.RepairMach">#REF!</definedName>
    <definedName name="PL.RepairsBldg" localSheetId="2">#REF!</definedName>
    <definedName name="PL.RepairsBldg">#REF!</definedName>
    <definedName name="PL.SaleOfGoods" localSheetId="2">#REF!</definedName>
    <definedName name="PL.SaleOfGoods">#REF!</definedName>
    <definedName name="PL.SaleOfServices" localSheetId="2">#REF!</definedName>
    <definedName name="PL.SaleOfServices">#REF!</definedName>
    <definedName name="PL.SalePromoExp" localSheetId="2">#REF!</definedName>
    <definedName name="PL.SalePromoExp">#REF!</definedName>
    <definedName name="PL.SalsWages" localSheetId="2">#REF!</definedName>
    <definedName name="PL.SalsWages">#REF!</definedName>
    <definedName name="PL.Scholarship" localSheetId="2">#REF!</definedName>
    <definedName name="PL.Scholarship">#REF!</definedName>
    <definedName name="PL.StaffWelfareExp" localSheetId="2">#REF!</definedName>
    <definedName name="PL.StaffWelfareExp">#REF!</definedName>
    <definedName name="PL.TelephoneExp" localSheetId="2">#REF!</definedName>
    <definedName name="PL.TelephoneExp">#REF!</definedName>
    <definedName name="PL.TotalNAC" localSheetId="2">#REF!</definedName>
    <definedName name="PL.TotalNAC">#REF!</definedName>
    <definedName name="PL.TotCreditsToPL" localSheetId="2">#REF!</definedName>
    <definedName name="PL.TotCreditsToPL">#REF!</definedName>
    <definedName name="PL.TotEmployeeComp" localSheetId="2">#REF!</definedName>
    <definedName name="PL.TotEmployeeComp">#REF!</definedName>
    <definedName name="PL.TotInsurances" localSheetId="2">#REF!</definedName>
    <definedName name="PL.TotInsurances">#REF!</definedName>
    <definedName name="PL.TotOthIncome" localSheetId="2">#REF!</definedName>
    <definedName name="PL.TotOthIncome">#REF!</definedName>
    <definedName name="PL.TotRevenueFrmOperations" localSheetId="2">#REF!</definedName>
    <definedName name="PL.TotRevenueFrmOperations">#REF!</definedName>
    <definedName name="PL.TravelExp" localSheetId="2">#REF!</definedName>
    <definedName name="PL.TravelExp">#REF!</definedName>
    <definedName name="PL.TrfToReserves" localSheetId="2">#REF!</definedName>
    <definedName name="PL.TrfToReserves">#REF!</definedName>
    <definedName name="PLBD.Amount" localSheetId="2">#REF!</definedName>
    <definedName name="PLBD.Amount">#REF!</definedName>
    <definedName name="PLBD.Amount_a" localSheetId="2">#REF!</definedName>
    <definedName name="PLBD.Amount_a">#REF!</definedName>
    <definedName name="PLBD.Amount_b" localSheetId="2">#REF!</definedName>
    <definedName name="PLBD.Amount_b">#REF!</definedName>
    <definedName name="PLBD.Amount_c" localSheetId="2">#REF!</definedName>
    <definedName name="PLBD.Amount_c">#REF!</definedName>
    <definedName name="PLBD.Amount_d" localSheetId="2">#REF!</definedName>
    <definedName name="PLBD.Amount_d">#REF!</definedName>
    <definedName name="PLBD.Amount_e" localSheetId="2">#REF!</definedName>
    <definedName name="PLBD.Amount_e">#REF!</definedName>
    <definedName name="PLBD.PAN" localSheetId="2">#REF!</definedName>
    <definedName name="PLBD.PAN">#REF!</definedName>
    <definedName name="PLBD.PAN_a" localSheetId="2">#REF!</definedName>
    <definedName name="PLBD.PAN_a">#REF!</definedName>
    <definedName name="PLBD.PAN_b" localSheetId="2">#REF!</definedName>
    <definedName name="PLBD.PAN_b">#REF!</definedName>
    <definedName name="PLBD.PAN_c" localSheetId="2">#REF!</definedName>
    <definedName name="PLBD.PAN_c">#REF!</definedName>
    <definedName name="PLBD.PAN_d" localSheetId="2">#REF!</definedName>
    <definedName name="PLBD.PAN_d">#REF!</definedName>
    <definedName name="PLBD.PAN_e" localSheetId="2">#REF!</definedName>
    <definedName name="PLBD.PAN_e">#REF!</definedName>
    <definedName name="PLCE.NonResOtherCompany" localSheetId="2">#REF!</definedName>
    <definedName name="PLCE.NonResOtherCompany">#REF!</definedName>
    <definedName name="PLCE.Others" localSheetId="2">#REF!</definedName>
    <definedName name="PLCE.Others">#REF!</definedName>
    <definedName name="PLCrEx.OthDutyTaxCess" localSheetId="2">#REF!</definedName>
    <definedName name="PLCrEx.OthDutyTaxCess">#REF!</definedName>
    <definedName name="PLCrEx.ServiceTax" localSheetId="2">#REF!</definedName>
    <definedName name="PLCrEx.ServiceTax">#REF!</definedName>
    <definedName name="PLCrEx.TotExciseCustomsVAT" localSheetId="2">#REF!</definedName>
    <definedName name="PLCrEx.TotExciseCustomsVAT">#REF!</definedName>
    <definedName name="PLCrEx.UnionExciseDuty" localSheetId="2">#REF!</definedName>
    <definedName name="PLCrEx.UnionExciseDuty">#REF!</definedName>
    <definedName name="PLCrEx.VATorSaleTax" localSheetId="2">#REF!</definedName>
    <definedName name="PLCrEx.VATorSaleTax">#REF!</definedName>
    <definedName name="PLCS.FinishedGoods" localSheetId="2">#REF!</definedName>
    <definedName name="PLCS.FinishedGoods">#REF!</definedName>
    <definedName name="PLCS.RawMaterial" localSheetId="2">#REF!</definedName>
    <definedName name="PLCS.RawMaterial">#REF!</definedName>
    <definedName name="PLCS.TotIncome" localSheetId="2">#REF!</definedName>
    <definedName name="PLCS.TotIncome">#REF!</definedName>
    <definedName name="PLCS.WorkInProgress" localSheetId="2">#REF!</definedName>
    <definedName name="PLCS.WorkInProgress">#REF!</definedName>
    <definedName name="PLDutiEx.CounterVailDuty" localSheetId="2">#REF!</definedName>
    <definedName name="PLDutiEx.CounterVailDuty">#REF!</definedName>
    <definedName name="PLDutiEx.CustomDuty" localSheetId="2">#REF!</definedName>
    <definedName name="PLDutiEx.CustomDuty">#REF!</definedName>
    <definedName name="PLDutiEx.OthDutyTaxCess" localSheetId="2">#REF!</definedName>
    <definedName name="PLDutiEx.OthDutyTaxCess">#REF!</definedName>
    <definedName name="PLDutiEx.ServiceTax" localSheetId="2">#REF!</definedName>
    <definedName name="PLDutiEx.ServiceTax">#REF!</definedName>
    <definedName name="PLDutiEx.SplAddDuty" localSheetId="2">#REF!</definedName>
    <definedName name="PLDutiEx.SplAddDuty">#REF!</definedName>
    <definedName name="PLDutiEx.TotExciseCustomsVAT" localSheetId="2">#REF!</definedName>
    <definedName name="PLDutiEx.TotExciseCustomsVAT">#REF!</definedName>
    <definedName name="PLDutiEx.UnionExciseDuty" localSheetId="2">#REF!</definedName>
    <definedName name="PLDutiEx.UnionExciseDuty">#REF!</definedName>
    <definedName name="PLDutiEx.VATorSaleTax" localSheetId="2">#REF!</definedName>
    <definedName name="PLDutiEx.VATorSaleTax">#REF!</definedName>
    <definedName name="PLI.NonResOtherCompany" localSheetId="2">#REF!</definedName>
    <definedName name="PLI.NonResOtherCompany">#REF!</definedName>
    <definedName name="PLI.Others" localSheetId="2">#REF!</definedName>
    <definedName name="PLI.Others">#REF!</definedName>
    <definedName name="PLOE.ExpenseAmt_a" localSheetId="2">#REF!</definedName>
    <definedName name="PLOE.ExpenseAmt_a">#REF!</definedName>
    <definedName name="PLOE.ExpenseAmt_b" localSheetId="2">#REF!</definedName>
    <definedName name="PLOE.ExpenseAmt_b">#REF!</definedName>
    <definedName name="PLOE.ExpenseAmt_c" localSheetId="2">#REF!</definedName>
    <definedName name="PLOE.ExpenseAmt_c">#REF!</definedName>
    <definedName name="PLOE.ExpenseAmt_d" localSheetId="2">#REF!</definedName>
    <definedName name="PLOE.ExpenseAmt_d">#REF!</definedName>
    <definedName name="PLOE.ExpenseNature_a" localSheetId="2">#REF!</definedName>
    <definedName name="PLOE.ExpenseNature_a">#REF!</definedName>
    <definedName name="PLOE.ExpenseNature_b" localSheetId="2">#REF!</definedName>
    <definedName name="PLOE.ExpenseNature_b">#REF!</definedName>
    <definedName name="PLOE.ExpenseNature_c" localSheetId="2">#REF!</definedName>
    <definedName name="PLOE.ExpenseNature_c">#REF!</definedName>
    <definedName name="PLOE.ExpenseNature_d" localSheetId="2">#REF!</definedName>
    <definedName name="PLOE.ExpenseNature_d">#REF!</definedName>
    <definedName name="PLOS.FinishedGoods" localSheetId="2">#REF!</definedName>
    <definedName name="PLOS.FinishedGoods">#REF!</definedName>
    <definedName name="PLOS.RawMaterial" localSheetId="2">#REF!</definedName>
    <definedName name="PLOS.RawMaterial">#REF!</definedName>
    <definedName name="PLOS.WorkInProgress" localSheetId="2">#REF!</definedName>
    <definedName name="PLOS.WorkInProgress">#REF!</definedName>
    <definedName name="PLPC.NonResOtherCompany" localSheetId="2">#REF!</definedName>
    <definedName name="PLPC.NonResOtherCompany">#REF!</definedName>
    <definedName name="PLPC.Others" localSheetId="2">#REF!</definedName>
    <definedName name="PLPC.Others">#REF!</definedName>
    <definedName name="PLPC.Total" localSheetId="2">#REF!</definedName>
    <definedName name="PLPC.Total">#REF!</definedName>
    <definedName name="PLRateEx.Cess" localSheetId="2">#REF!</definedName>
    <definedName name="PLRateEx.Cess">#REF!</definedName>
    <definedName name="PLRateEx.OthDutyTaxCess" localSheetId="2">#REF!</definedName>
    <definedName name="PLRateEx.OthDutyTaxCess">#REF!</definedName>
    <definedName name="PLRateEx.ServiceTax" localSheetId="2">#REF!</definedName>
    <definedName name="PLRateEx.ServiceTax">#REF!</definedName>
    <definedName name="PLRateEx.TotExciseCustomsVAT" localSheetId="2">#REF!</definedName>
    <definedName name="PLRateEx.TotExciseCustomsVAT">#REF!</definedName>
    <definedName name="PLRateEx.UnionExciseDuty" localSheetId="2">#REF!</definedName>
    <definedName name="PLRateEx.UnionExciseDuty">#REF!</definedName>
    <definedName name="PLRateEx.VATorSaleTax" localSheetId="2">#REF!</definedName>
    <definedName name="PLRateEx.VATorSaleTax">#REF!</definedName>
    <definedName name="PLRY.NonResOtherCompany" localSheetId="2">#REF!</definedName>
    <definedName name="PLRY.NonResOtherCompany">#REF!</definedName>
    <definedName name="PLRY.Others" localSheetId="2">#REF!</definedName>
    <definedName name="PLRY.Others">#REF!</definedName>
    <definedName name="PLRY.Total" localSheetId="2">#REF!</definedName>
    <definedName name="PLRY.Total">#REF!</definedName>
    <definedName name="PortugueseCode">[1]DropDownValues!$D$72:$D$74</definedName>
    <definedName name="_xlnm.Print_Area" localSheetId="0">'504'!$A$4:$G$118</definedName>
    <definedName name="_xlnm.Print_Area" localSheetId="1">'ITR-3 (Partner)'!$A$1:$F$24</definedName>
    <definedName name="_xlnm.Print_Area" localSheetId="2">'Sol-504'!$G$3:$I$27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2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2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'[4]DropDown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0" l="1"/>
  <c r="C59" i="21"/>
  <c r="E27" i="21"/>
  <c r="F46" i="20"/>
  <c r="D17" i="21"/>
  <c r="H16" i="21" l="1"/>
  <c r="H12" i="21"/>
  <c r="H13" i="21" l="1"/>
  <c r="H9" i="21"/>
  <c r="I13" i="21" l="1"/>
  <c r="I17" i="21"/>
  <c r="G94" i="20"/>
  <c r="D41" i="21" l="1"/>
  <c r="E41" i="21" s="1"/>
  <c r="C30" i="21"/>
  <c r="C31" i="21"/>
  <c r="C58" i="21"/>
  <c r="C57" i="21"/>
  <c r="F100" i="20"/>
  <c r="D20" i="21"/>
  <c r="C19" i="21"/>
  <c r="D6" i="21"/>
  <c r="C66" i="21"/>
  <c r="C50" i="21" l="1"/>
  <c r="F101" i="20"/>
  <c r="C48" i="21" s="1"/>
  <c r="E31" i="21"/>
  <c r="G46" i="20" l="1"/>
  <c r="A24" i="21" s="1"/>
  <c r="D78" i="20"/>
  <c r="C64" i="21" l="1"/>
  <c r="C73" i="21"/>
  <c r="B109" i="20" l="1"/>
  <c r="B108" i="20"/>
  <c r="B107" i="20"/>
  <c r="E101" i="20"/>
  <c r="F102" i="20"/>
  <c r="E102" i="20"/>
  <c r="G91" i="20"/>
  <c r="C56" i="21" s="1"/>
  <c r="F89" i="20"/>
  <c r="D77" i="20"/>
  <c r="G90" i="20" s="1"/>
  <c r="C55" i="21" s="1"/>
  <c r="D74" i="20"/>
  <c r="D68" i="20"/>
  <c r="E63" i="20"/>
  <c r="G56" i="20"/>
  <c r="D56" i="20"/>
  <c r="D57" i="20" s="1"/>
  <c r="D58" i="20" s="1"/>
  <c r="G49" i="20"/>
  <c r="C24" i="21"/>
  <c r="G45" i="20"/>
  <c r="D22" i="21" s="1"/>
  <c r="C22" i="21"/>
  <c r="G44" i="20"/>
  <c r="D21" i="21" s="1"/>
  <c r="G39" i="20"/>
  <c r="C10" i="21" s="1"/>
  <c r="G38" i="20"/>
  <c r="D7" i="21" s="1"/>
  <c r="D8" i="21" s="1"/>
  <c r="E24" i="20"/>
  <c r="D108" i="20"/>
  <c r="G19" i="20"/>
  <c r="F19" i="20"/>
  <c r="D72" i="20" l="1"/>
  <c r="D81" i="20"/>
  <c r="D69" i="20" s="1"/>
  <c r="C49" i="21"/>
  <c r="C51" i="21" s="1"/>
  <c r="C61" i="21" s="1"/>
  <c r="G108" i="20"/>
  <c r="D23" i="21"/>
  <c r="E24" i="21" s="1"/>
  <c r="C9" i="21"/>
  <c r="D10" i="21" s="1"/>
  <c r="D11" i="21" s="1"/>
  <c r="G88" i="20"/>
  <c r="C54" i="21" s="1"/>
  <c r="G57" i="20"/>
  <c r="D65" i="20"/>
  <c r="D70" i="20" s="1"/>
  <c r="D71" i="20" s="1"/>
  <c r="G109" i="20"/>
  <c r="D109" i="20"/>
  <c r="F79" i="20" s="1"/>
  <c r="G58" i="20"/>
  <c r="G100" i="20"/>
  <c r="D18" i="21" s="1"/>
  <c r="E18" i="21" s="1"/>
  <c r="D59" i="20" l="1"/>
  <c r="D60" i="20" s="1"/>
  <c r="D67" i="20" s="1"/>
  <c r="D82" i="20"/>
  <c r="D66" i="20" s="1"/>
  <c r="D73" i="20" s="1"/>
  <c r="A35" i="21"/>
  <c r="D35" i="21"/>
  <c r="E11" i="21"/>
  <c r="D64" i="20"/>
  <c r="G62" i="20"/>
  <c r="D62" i="20" s="1"/>
  <c r="G107" i="20"/>
  <c r="D63" i="20"/>
  <c r="D79" i="20"/>
  <c r="C72" i="21" s="1"/>
  <c r="D55" i="20"/>
  <c r="G106" i="20"/>
  <c r="D72" i="21" l="1"/>
  <c r="E72" i="21" s="1"/>
  <c r="C62" i="21"/>
  <c r="G110" i="20"/>
  <c r="G111" i="20" s="1"/>
  <c r="D61" i="20"/>
  <c r="G63" i="20" s="1"/>
  <c r="G85" i="20" s="1"/>
  <c r="D85" i="20" s="1"/>
  <c r="C60" i="21" l="1"/>
  <c r="G112" i="20"/>
  <c r="D112" i="20" s="1"/>
  <c r="D110" i="20" s="1"/>
  <c r="D84" i="20"/>
  <c r="C53" i="21" l="1"/>
  <c r="C63" i="21" s="1"/>
  <c r="C65" i="21" s="1"/>
  <c r="C67" i="21" l="1"/>
  <c r="C68" i="21" s="1"/>
  <c r="C69" i="21" s="1"/>
  <c r="D13" i="21"/>
  <c r="D73" i="21" l="1"/>
  <c r="E73" i="21" s="1"/>
  <c r="E75" i="21" s="1"/>
  <c r="H8" i="21"/>
  <c r="I9" i="21" s="1"/>
  <c r="I14" i="21" s="1"/>
  <c r="I18" i="21" s="1"/>
  <c r="I19" i="21" s="1"/>
  <c r="D14" i="21"/>
  <c r="E14" i="21" s="1"/>
  <c r="H6" i="21" s="1"/>
  <c r="F78" i="20"/>
  <c r="I20" i="21" l="1"/>
  <c r="I21" i="21" s="1"/>
  <c r="I23" i="21" s="1"/>
  <c r="I25" i="21" s="1"/>
  <c r="E29" i="21"/>
  <c r="E32" i="21" s="1"/>
  <c r="A34" i="21" s="1"/>
  <c r="D34" i="21" s="1"/>
  <c r="D36" i="21" l="1"/>
  <c r="D38" i="21" l="1"/>
  <c r="E39" i="21" s="1"/>
  <c r="E42" i="21" s="1"/>
  <c r="E44" i="21" s="1"/>
</calcChain>
</file>

<file path=xl/sharedStrings.xml><?xml version="1.0" encoding="utf-8"?>
<sst xmlns="http://schemas.openxmlformats.org/spreadsheetml/2006/main" count="312" uniqueCount="277">
  <si>
    <t>Resident</t>
  </si>
  <si>
    <t>Commission</t>
  </si>
  <si>
    <t>Depreciation</t>
  </si>
  <si>
    <t>Current</t>
  </si>
  <si>
    <t>Date of admission</t>
  </si>
  <si>
    <t>Percentage of Share</t>
  </si>
  <si>
    <t>PAN</t>
  </si>
  <si>
    <t>Address</t>
  </si>
  <si>
    <t>Status</t>
  </si>
  <si>
    <t>Net Profit</t>
  </si>
  <si>
    <t xml:space="preserve">Income from House Property </t>
  </si>
  <si>
    <t>Rent Received</t>
  </si>
  <si>
    <t>GAV</t>
  </si>
  <si>
    <t>Less Local Taxes paid</t>
  </si>
  <si>
    <t xml:space="preserve">NAV </t>
  </si>
  <si>
    <t xml:space="preserve">Less Intt on Loan </t>
  </si>
  <si>
    <t>Capital Gains</t>
  </si>
  <si>
    <t>Less Exp</t>
  </si>
  <si>
    <t>Other Sources</t>
  </si>
  <si>
    <t xml:space="preserve">Income from Business / Profession </t>
  </si>
  <si>
    <t>NP as per P &amp; L A/c</t>
  </si>
  <si>
    <t>P &amp; L A/c</t>
  </si>
  <si>
    <t xml:space="preserve">Depreciation  Added </t>
  </si>
  <si>
    <t>BP-11</t>
  </si>
  <si>
    <t>Dep Allowed</t>
  </si>
  <si>
    <t>BP-16</t>
  </si>
  <si>
    <t xml:space="preserve">Adjusted profit </t>
  </si>
  <si>
    <t>Book profit</t>
  </si>
  <si>
    <t xml:space="preserve">Balance @ 60% </t>
  </si>
  <si>
    <t xml:space="preserve">Normal Tax </t>
  </si>
  <si>
    <t>Tax Liability</t>
  </si>
  <si>
    <t>TDS by Tenant</t>
  </si>
  <si>
    <t xml:space="preserve">Advance  Tax </t>
  </si>
  <si>
    <t>Rounded Off</t>
  </si>
  <si>
    <t xml:space="preserve">Excess Intt on Capital </t>
  </si>
  <si>
    <t>OI-8Ab</t>
  </si>
  <si>
    <t>OI-9b</t>
  </si>
  <si>
    <t>Book Profit</t>
  </si>
  <si>
    <t xml:space="preserve">Income Tax </t>
  </si>
  <si>
    <t>Cash Payment</t>
  </si>
  <si>
    <t>TDS on Audit Fees</t>
  </si>
  <si>
    <t>OI-9a</t>
  </si>
  <si>
    <t>OI-8Ae</t>
  </si>
  <si>
    <t xml:space="preserve">Add Health &amp; Edu Cess </t>
  </si>
  <si>
    <t>Name</t>
  </si>
  <si>
    <t>Gross Profit</t>
  </si>
  <si>
    <t>Purchases</t>
  </si>
  <si>
    <t>BP-15</t>
  </si>
  <si>
    <t>BP-17</t>
  </si>
  <si>
    <t>Date of Formation / Commencement of Business</t>
  </si>
  <si>
    <t>A-25, Panchsheel Enclave, New Delhi-110017</t>
  </si>
  <si>
    <t>Less Std Ded 30%</t>
  </si>
  <si>
    <t>Mobile No.</t>
  </si>
  <si>
    <t>Residential Status</t>
  </si>
  <si>
    <t>e-mail ID</t>
  </si>
  <si>
    <t>Return to be filed under which section</t>
  </si>
  <si>
    <t>139(1), Original Return</t>
  </si>
  <si>
    <t>Acq Cost of Asset</t>
  </si>
  <si>
    <t>Yes</t>
  </si>
  <si>
    <t>Partners' information</t>
  </si>
  <si>
    <t>Name of partners</t>
  </si>
  <si>
    <t>Book  Profit as per P &amp; L A/c</t>
  </si>
  <si>
    <t>Residential Address</t>
  </si>
  <si>
    <t>R-50, Greater Kailash-I, New Delhi-110048</t>
  </si>
  <si>
    <t>M-240, Lodhi Road, New Delhi-110003</t>
  </si>
  <si>
    <t xml:space="preserve">Partners' Remuneration Allowed as per 40(b) on Book Profit First Rs. 300000 (90% or 150000); Balance @  60%...s t max paid amount  </t>
  </si>
  <si>
    <t>Managing Partner who will verify return</t>
  </si>
  <si>
    <t>Father's Name of Partner to verify return</t>
  </si>
  <si>
    <t xml:space="preserve">Advance tax </t>
  </si>
  <si>
    <t>No. of bank accounts held by firm  during the previous year</t>
  </si>
  <si>
    <t>Two</t>
  </si>
  <si>
    <t xml:space="preserve">Excessive Payment </t>
  </si>
  <si>
    <t>Details of bank accounts</t>
  </si>
  <si>
    <t>HDFC Bank</t>
  </si>
  <si>
    <t>State Bank of India</t>
  </si>
  <si>
    <t>Account No.</t>
  </si>
  <si>
    <t>IFS Code</t>
  </si>
  <si>
    <t>HDFC0000327</t>
  </si>
  <si>
    <t>BP-12i</t>
  </si>
  <si>
    <t>Type of account</t>
  </si>
  <si>
    <t xml:space="preserve">Donation Political </t>
  </si>
  <si>
    <t>Refund (if any) to be credited</t>
  </si>
  <si>
    <t xml:space="preserve">Yes </t>
  </si>
  <si>
    <t>OI-8Ah</t>
  </si>
  <si>
    <t>Date of Filing</t>
  </si>
  <si>
    <t>Place of filing return</t>
  </si>
  <si>
    <t>Add Remu paid</t>
  </si>
  <si>
    <t xml:space="preserve">Income / Expenditure / Investment Details: </t>
  </si>
  <si>
    <t>Income From House Property</t>
  </si>
  <si>
    <t xml:space="preserve">Sec 40(b) </t>
  </si>
  <si>
    <t>First  Rs. 300000</t>
  </si>
  <si>
    <t xml:space="preserve">Remu Allowed </t>
  </si>
  <si>
    <t xml:space="preserve">Municipal taxes paid by the  Firm (Owner) during the previous year </t>
  </si>
  <si>
    <t>Interest on capital borrowed for purchase of property</t>
  </si>
  <si>
    <t xml:space="preserve">Gross Total Income </t>
  </si>
  <si>
    <t>After HP Loss Set Off</t>
  </si>
  <si>
    <t>Tax deducted by the Tenant (DELR12345E) as per section 194I</t>
  </si>
  <si>
    <t xml:space="preserve">Less 80GGC </t>
  </si>
  <si>
    <t xml:space="preserve">Capital Gain </t>
  </si>
  <si>
    <t xml:space="preserve">Sale of Plot of Land  </t>
  </si>
  <si>
    <t>Stamp duty value</t>
  </si>
  <si>
    <t>Expenditure on transfer</t>
  </si>
  <si>
    <t xml:space="preserve">Plot was purchased </t>
  </si>
  <si>
    <t xml:space="preserve">Spl Tax  (LTCG) </t>
  </si>
  <si>
    <t>Income from other sources</t>
  </si>
  <si>
    <t>Interest on Fixed Deposits</t>
  </si>
  <si>
    <t xml:space="preserve">12% Surcharge if TI &gt; 100 Lakhs </t>
  </si>
  <si>
    <t>Advance tax / Self assessment tax paid by the Firm</t>
  </si>
  <si>
    <t>Tax Refund</t>
  </si>
  <si>
    <t>Opening stock</t>
  </si>
  <si>
    <t>Gross Turnover</t>
  </si>
  <si>
    <t>Late Fees u/s 234F</t>
  </si>
  <si>
    <t>CGST Received</t>
  </si>
  <si>
    <t>CGST Paid  on goods purchased</t>
  </si>
  <si>
    <t xml:space="preserve">SGST Received </t>
  </si>
  <si>
    <t>SGST Paid  on goods purchased</t>
  </si>
  <si>
    <t>Closing Stock</t>
  </si>
  <si>
    <t>Carriage Inward</t>
  </si>
  <si>
    <t xml:space="preserve">Plant &amp; Mach </t>
  </si>
  <si>
    <t>Power and fuel (Direct Exps)</t>
  </si>
  <si>
    <t xml:space="preserve">Dep  Full </t>
  </si>
  <si>
    <t xml:space="preserve">Dep  Half </t>
  </si>
  <si>
    <t>Add Dep 20%</t>
  </si>
  <si>
    <t xml:space="preserve">Rent of office and Godown </t>
  </si>
  <si>
    <t xml:space="preserve">Repair (Building on Rent) </t>
  </si>
  <si>
    <t>Repair (Machinery)</t>
  </si>
  <si>
    <t>Salary to employees</t>
  </si>
  <si>
    <t>Medical insurance</t>
  </si>
  <si>
    <t>Sales Promotion expenses</t>
  </si>
  <si>
    <t xml:space="preserve">Advertisement </t>
  </si>
  <si>
    <t>Domestic Travel</t>
  </si>
  <si>
    <t>Telephone</t>
  </si>
  <si>
    <t>Festival expenses</t>
  </si>
  <si>
    <t>Gift to distributors</t>
  </si>
  <si>
    <t>Audit fees</t>
  </si>
  <si>
    <t>Intt on capital to partners(@ 15%</t>
  </si>
  <si>
    <t xml:space="preserve"> Allowed </t>
  </si>
  <si>
    <t xml:space="preserve"> Allowed</t>
  </si>
  <si>
    <t>Other expenses</t>
  </si>
  <si>
    <t xml:space="preserve">Gross Turnover Reported </t>
  </si>
  <si>
    <t>Other Information</t>
  </si>
  <si>
    <t>(1) Other expenses include a cash payment to a supplier</t>
  </si>
  <si>
    <t xml:space="preserve">(2) Gross Turnover  include Receipt of Income-tax  Refund  </t>
  </si>
  <si>
    <t>(2) Tax is not deducted at source in respect of Audit Fees</t>
  </si>
  <si>
    <t>(3) Income tax paid as advance tax is included in other expenses.</t>
  </si>
  <si>
    <t>Plant &amp; Machinery</t>
  </si>
  <si>
    <t xml:space="preserve">Computer </t>
  </si>
  <si>
    <t xml:space="preserve">Depreciated value as on </t>
  </si>
  <si>
    <t>Capital account of</t>
  </si>
  <si>
    <t xml:space="preserve">Sundry debtors (Less than 1 yr) </t>
  </si>
  <si>
    <t>Depreciable assets</t>
  </si>
  <si>
    <t xml:space="preserve">Investment in Listed Eq Shares (LT) </t>
  </si>
  <si>
    <t>Sundry Creditors (Less than 1 yr)</t>
  </si>
  <si>
    <t>Bank Balance</t>
  </si>
  <si>
    <t>Cash balance</t>
  </si>
  <si>
    <t>Remuneration to Partners (Rs  140000 per partner per month)</t>
  </si>
  <si>
    <t>EADFB9321H</t>
  </si>
  <si>
    <t>25, Film City, Goregaon, Mumbai-400001</t>
  </si>
  <si>
    <t>SBIN00006623</t>
  </si>
  <si>
    <t xml:space="preserve">Mumbai </t>
  </si>
  <si>
    <t>Big Boss Retail India</t>
  </si>
  <si>
    <t>OI-7i</t>
  </si>
  <si>
    <t xml:space="preserve">Donation to Delhi Univeristy (Notified Scientific Research Institute) </t>
  </si>
  <si>
    <t xml:space="preserve">Sale of Depreciated Assets (Computer) </t>
  </si>
  <si>
    <t>Sale Proceeds</t>
  </si>
  <si>
    <t xml:space="preserve">Less Acq Cost </t>
  </si>
  <si>
    <t>(200000 + 40000)</t>
  </si>
  <si>
    <t>LTCG</t>
  </si>
  <si>
    <t>Less 80G</t>
  </si>
  <si>
    <t>Rakhi Sawant</t>
  </si>
  <si>
    <t>Rubina Dilaik</t>
  </si>
  <si>
    <t>AANPS5842G</t>
  </si>
  <si>
    <t>AASPD8752C</t>
  </si>
  <si>
    <t>AAXPV4521E</t>
  </si>
  <si>
    <t>Anand Sawant</t>
  </si>
  <si>
    <t xml:space="preserve">Donation given to Political Party </t>
  </si>
  <si>
    <t>bigbossretail@gmail.com</t>
  </si>
  <si>
    <t xml:space="preserve">PAN </t>
  </si>
  <si>
    <t>Deemed STCG</t>
  </si>
  <si>
    <t>STCG - 6e</t>
  </si>
  <si>
    <t xml:space="preserve">Sale of Land </t>
  </si>
  <si>
    <t>GSTIN allotted 27EADFB9321H1ZB</t>
  </si>
  <si>
    <t>BP-29</t>
  </si>
  <si>
    <t>(5) Amount  given to All India Institute of Medical Science (Notified Scientific Research Instutute), Ansari Road, New Delhi-110029,  PAN: AAPLA5211G</t>
  </si>
  <si>
    <t>(6) Amount  given to Delhi University (Notified Scientific Research Instutute), North Campus, Delhi-110007,  PAN: AABLD4234D</t>
  </si>
  <si>
    <t>ESR, RA</t>
  </si>
  <si>
    <t>Sec 35(1)(ii)</t>
  </si>
  <si>
    <t>Amount Manually at OI-8Ah</t>
  </si>
  <si>
    <t xml:space="preserve">Inadmissible </t>
  </si>
  <si>
    <t xml:space="preserve">Only 100% </t>
  </si>
  <si>
    <t>wef AY 2021-22</t>
  </si>
  <si>
    <t xml:space="preserve">Depreciation </t>
  </si>
  <si>
    <t xml:space="preserve">Allowed  </t>
  </si>
  <si>
    <t>Partners' Salary    u/s 40(b)</t>
  </si>
  <si>
    <t xml:space="preserve">Interest on capital    @ 12% </t>
  </si>
  <si>
    <t xml:space="preserve">Income From Business / Professon </t>
  </si>
  <si>
    <t xml:space="preserve">Salary @  140000 p m </t>
  </si>
  <si>
    <t xml:space="preserve">As per Section  40(b) </t>
  </si>
  <si>
    <t xml:space="preserve">Interest  @  12% </t>
  </si>
  <si>
    <t xml:space="preserve"> S B Interest </t>
  </si>
  <si>
    <t xml:space="preserve">Gift from Non-Relative (Partner) </t>
  </si>
  <si>
    <t xml:space="preserve">Gross Total income </t>
  </si>
  <si>
    <t xml:space="preserve">Less Deduction </t>
  </si>
  <si>
    <t xml:space="preserve">Section 80C </t>
  </si>
  <si>
    <t xml:space="preserve">Section 80TTA </t>
  </si>
  <si>
    <t xml:space="preserve">Total income </t>
  </si>
  <si>
    <t xml:space="preserve">HEC @ 4% </t>
  </si>
  <si>
    <t xml:space="preserve">Tax Calculations for Rakhi Sawant (Partner) </t>
  </si>
  <si>
    <t>ITR-3</t>
  </si>
  <si>
    <t>Date of Birth</t>
  </si>
  <si>
    <t>(4) Excessive Payment (Salary)  made to Partner-Rahul's Brother</t>
  </si>
  <si>
    <t>Profit from Fim  Sec 10(2A)</t>
  </si>
  <si>
    <t>(2) Saving Bank Interest: SBI A/c 01357975310 (IFSC: SBIN0006623)</t>
  </si>
  <si>
    <t>(1) Purchased National Savings Certificates</t>
  </si>
  <si>
    <t xml:space="preserve">Actual cost of assets acquired </t>
  </si>
  <si>
    <t xml:space="preserve">Sale proceeds of assets </t>
  </si>
  <si>
    <t xml:space="preserve">Partnership firm </t>
  </si>
  <si>
    <t xml:space="preserve">Address of property: 15/25, Prem Nagar, New Delhi-110003. Fully owned by the Firm, Name of the Tenant:  Rathore Technology Ltd </t>
  </si>
  <si>
    <t xml:space="preserve">Annual Rent </t>
  </si>
  <si>
    <t>Plot Add: 25, Vishal Gali, Pritam Pura, Delhi-110034</t>
  </si>
  <si>
    <t>CII (FY 2013-14)  220</t>
  </si>
  <si>
    <t>CA Salman Ghani Khan, PAN-AAAPK6835H;  Membership No 987654, Prop  Regd No. 87654321</t>
  </si>
  <si>
    <t>Rahul Vaidya</t>
  </si>
  <si>
    <t>Buyer:  Bharti Singh (PAN ABSPS9875H)</t>
  </si>
  <si>
    <t>Trading and  Profit &amp; Loss Account for the year ending 31-03-2021</t>
  </si>
  <si>
    <t>(7) Donation given to PM CARES Fund, New Delhi (PAN: AAETP3993P) on 15-12-2020</t>
  </si>
  <si>
    <t>(8) Birthday Gift to Rakhi Sawant on 25-11-2020 by Rahul Vaidya</t>
  </si>
  <si>
    <t xml:space="preserve"> New Plant &amp; Machinery  purchased on 26-04-2020  is qualified for additional depreciation @ 20%</t>
  </si>
  <si>
    <t>Balance Sheet as on 31-03-2021</t>
  </si>
  <si>
    <t>Liable to maintain accounts u/s 44AA &amp; Audit u/s 44AB</t>
  </si>
  <si>
    <t>Audit Report u/s 44AB furnished on 15-02-2022</t>
  </si>
  <si>
    <t>Loss on H Property C/f to AY 2022-23</t>
  </si>
  <si>
    <t xml:space="preserve">Divided </t>
  </si>
  <si>
    <t xml:space="preserve">FDR Intt </t>
  </si>
  <si>
    <t>ESR-AIIMS  Rs. 50000 * 100%</t>
  </si>
  <si>
    <t>Tax Paid</t>
  </si>
  <si>
    <t xml:space="preserve">Refund </t>
  </si>
  <si>
    <t>Intt / Fees</t>
  </si>
  <si>
    <t>Mobile: 9811116835; E-Mail: rathore_incometax@yahoo.co.in</t>
  </si>
  <si>
    <r>
      <t>Tax paid on 15-06-</t>
    </r>
    <r>
      <rPr>
        <b/>
        <sz val="11"/>
        <rFont val="Arial"/>
        <family val="2"/>
      </rPr>
      <t>2020</t>
    </r>
    <r>
      <rPr>
        <sz val="11"/>
        <rFont val="Arial"/>
        <family val="2"/>
      </rPr>
      <t xml:space="preserve"> (BSR Code of  0001704 ,Challan No.: 00001)</t>
    </r>
  </si>
  <si>
    <r>
      <t xml:space="preserve">Tax paid on </t>
    </r>
    <r>
      <rPr>
        <b/>
        <sz val="11"/>
        <color theme="1"/>
        <rFont val="Arial"/>
        <family val="2"/>
      </rPr>
      <t>15-12-2020</t>
    </r>
    <r>
      <rPr>
        <sz val="11"/>
        <color theme="1"/>
        <rFont val="Arial"/>
        <family val="2"/>
      </rPr>
      <t xml:space="preserve"> (BSR Code of  0001704 ,Challan No.: 00015)</t>
    </r>
  </si>
  <si>
    <t>Excess Partners' Remuneration</t>
  </si>
  <si>
    <r>
      <t xml:space="preserve">Generate ITRs for AY 2021-22:  ITR-5 (Firm) &amp; </t>
    </r>
    <r>
      <rPr>
        <b/>
        <sz val="11"/>
        <color rgb="FF2808E8"/>
        <rFont val="Arial"/>
        <family val="2"/>
      </rPr>
      <t>ITR-3 (Partner_Rakhi)</t>
    </r>
  </si>
  <si>
    <t>CII (FY 2020-21) 301</t>
  </si>
  <si>
    <t>Purchased Residential House</t>
  </si>
  <si>
    <t xml:space="preserve">Less Exemption u/s 54  (Only Ind/HUF) </t>
  </si>
  <si>
    <t>EDFOLIO</t>
  </si>
  <si>
    <t>Course Name: E-Filing of Tax Returns</t>
  </si>
  <si>
    <t>To join the course: https://www.edfolio.in/courses/e-filing-tax-returns</t>
  </si>
  <si>
    <t>Assessment Year 2021-22 Computation of Income &amp; Tax Paid</t>
  </si>
  <si>
    <r>
      <rPr>
        <b/>
        <sz val="11"/>
        <color rgb="FF2808E8"/>
        <rFont val="Arial"/>
        <family val="2"/>
      </rPr>
      <t>Trade Name - Big Boss Retail India</t>
    </r>
    <r>
      <rPr>
        <sz val="11"/>
        <rFont val="Arial"/>
        <family val="2"/>
      </rPr>
      <t xml:space="preserve"> (Books of account maintained)    Code No.  09021</t>
    </r>
  </si>
  <si>
    <t xml:space="preserve">(9) Following information with regard to the Assets </t>
  </si>
  <si>
    <t xml:space="preserve">Total Income </t>
  </si>
  <si>
    <t xml:space="preserve">CGST Paid  </t>
  </si>
  <si>
    <t xml:space="preserve">SGST Paid  </t>
  </si>
  <si>
    <t>(3) Tax paid on 15-06-2020 (BSR Code of  0001704 ,Challan No.: 00002)</t>
  </si>
  <si>
    <r>
      <t xml:space="preserve">(4) Tax paid on </t>
    </r>
    <r>
      <rPr>
        <sz val="11"/>
        <color theme="1"/>
        <rFont val="Arial"/>
        <family val="2"/>
      </rPr>
      <t>15-12-2020 (BSR Code of  0001704 ,Challan No.: 00016)</t>
    </r>
  </si>
  <si>
    <t>Information given by Rakhi Sawant (ITR-3)</t>
  </si>
  <si>
    <t>Dividend from Investment in Listed Equity Shares (Credited by 15-06-2020)</t>
  </si>
  <si>
    <t>Generate ITR-3  to be Filed by Partner-Rakhi Sawant for AY 2021-22</t>
  </si>
  <si>
    <t>New Delhi</t>
  </si>
  <si>
    <t xml:space="preserve">Allowed @ 12% </t>
  </si>
  <si>
    <t>Rs. 1641433 as per u/s 40(b)</t>
  </si>
  <si>
    <t>Remuneration to Partners (Rs  140000 per partner p.m.)</t>
  </si>
  <si>
    <t>Rs. 1566433</t>
  </si>
  <si>
    <t xml:space="preserve">Firm's Profit (50% Share) as per Profit and Loss A/c </t>
  </si>
  <si>
    <t xml:space="preserve">Name of the Firm </t>
  </si>
  <si>
    <t xml:space="preserve">PAN of the Firm </t>
  </si>
  <si>
    <t xml:space="preserve">Father's Name </t>
  </si>
  <si>
    <t>Name of partner</t>
  </si>
  <si>
    <r>
      <t xml:space="preserve">(4) Tax paid on </t>
    </r>
    <r>
      <rPr>
        <i/>
        <sz val="11"/>
        <color theme="1"/>
        <rFont val="Arial"/>
        <family val="2"/>
      </rPr>
      <t>15-12-2020 (BSR Code of  0001704 ,Challan No.: 00016)</t>
    </r>
  </si>
  <si>
    <t xml:space="preserve">Intt on capital Rs. 1600000 </t>
  </si>
  <si>
    <t>Mobile</t>
  </si>
  <si>
    <t xml:space="preserve">E-Mail </t>
  </si>
  <si>
    <t>rathore_incometax@yahoo.co.in</t>
  </si>
  <si>
    <t>(1) Purchased National Savings Certificates during FY 2020-21</t>
  </si>
  <si>
    <t xml:space="preserve">Audit Report u/s 44AB furnished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</si>
</sst>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rgb="FF081DB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rgb="FF081DB8"/>
      <name val="Arial"/>
      <family val="2"/>
    </font>
    <font>
      <b/>
      <sz val="10"/>
      <color rgb="FF081DB8"/>
      <name val="Arial"/>
      <family val="2"/>
    </font>
    <font>
      <sz val="11"/>
      <color rgb="FFC00000"/>
      <name val="Arial"/>
      <family val="2"/>
    </font>
    <font>
      <i/>
      <sz val="11"/>
      <name val="Arial"/>
      <family val="2"/>
    </font>
    <font>
      <b/>
      <sz val="11"/>
      <color rgb="FF2808E8"/>
      <name val="Arial"/>
      <family val="2"/>
    </font>
    <font>
      <sz val="11"/>
      <color rgb="FF2808E8"/>
      <name val="Arial"/>
      <family val="2"/>
    </font>
    <font>
      <b/>
      <sz val="11"/>
      <color rgb="FF7030A0"/>
      <name val="Arial"/>
      <family val="2"/>
    </font>
    <font>
      <sz val="10"/>
      <color rgb="FF081DB8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1"/>
      <color rgb="FF081DB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i/>
      <sz val="11"/>
      <color rgb="FF7030A0"/>
      <name val="Arial"/>
      <family val="2"/>
    </font>
    <font>
      <i/>
      <sz val="11"/>
      <color rgb="FF2808E8"/>
      <name val="Arial"/>
      <family val="2"/>
    </font>
    <font>
      <b/>
      <sz val="10"/>
      <color rgb="FF2808E8"/>
      <name val="Arial"/>
      <family val="2"/>
    </font>
    <font>
      <sz val="11"/>
      <color theme="1"/>
      <name val="Calibri"/>
      <family val="2"/>
      <scheme val="minor"/>
    </font>
    <font>
      <sz val="11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rgb="FF00B050"/>
      <name val="Arial"/>
      <family val="2"/>
    </font>
    <font>
      <sz val="18"/>
      <color theme="0"/>
      <name val="Calibri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12"/>
      <color theme="1"/>
      <name val="Lucida Console"/>
      <family val="3"/>
    </font>
    <font>
      <b/>
      <sz val="11"/>
      <color theme="3" tint="0.39997558519241921"/>
      <name val="Arial"/>
      <family val="2"/>
    </font>
    <font>
      <sz val="10"/>
      <color rgb="FF2808E8"/>
      <name val="Arial"/>
      <family val="2"/>
    </font>
    <font>
      <i/>
      <sz val="11"/>
      <color theme="1"/>
      <name val="Arial"/>
      <family val="2"/>
    </font>
    <font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0" fillId="0" borderId="0"/>
    <xf numFmtId="0" fontId="35" fillId="0" borderId="0" applyNumberFormat="0" applyFill="0" applyBorder="0" applyAlignment="0" applyProtection="0"/>
    <xf numFmtId="0" fontId="17" fillId="0" borderId="0"/>
  </cellStyleXfs>
  <cellXfs count="341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2" fillId="0" borderId="0" xfId="0" applyFont="1" applyFill="1"/>
    <xf numFmtId="0" fontId="3" fillId="0" borderId="0" xfId="0" applyFont="1" applyFill="1" applyAlignment="1">
      <alignment horizontal="left" wrapText="1"/>
    </xf>
    <xf numFmtId="0" fontId="7" fillId="0" borderId="0" xfId="0" applyFont="1"/>
    <xf numFmtId="0" fontId="7" fillId="0" borderId="11" xfId="0" applyFont="1" applyFill="1" applyBorder="1" applyAlignment="1">
      <alignment horizontal="left" indent="1"/>
    </xf>
    <xf numFmtId="0" fontId="7" fillId="0" borderId="10" xfId="0" applyFont="1" applyFill="1" applyBorder="1" applyAlignment="1"/>
    <xf numFmtId="0" fontId="7" fillId="0" borderId="17" xfId="0" applyFont="1" applyFill="1" applyBorder="1" applyAlignment="1"/>
    <xf numFmtId="0" fontId="7" fillId="0" borderId="10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" fontId="7" fillId="0" borderId="0" xfId="0" applyNumberFormat="1" applyFont="1" applyAlignment="1"/>
    <xf numFmtId="1" fontId="2" fillId="0" borderId="12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0" fontId="7" fillId="0" borderId="18" xfId="0" applyFont="1" applyFill="1" applyBorder="1" applyAlignment="1"/>
    <xf numFmtId="15" fontId="7" fillId="0" borderId="12" xfId="0" applyNumberFormat="1" applyFont="1" applyFill="1" applyBorder="1" applyAlignment="1">
      <alignment horizontal="left" indent="1"/>
    </xf>
    <xf numFmtId="14" fontId="7" fillId="0" borderId="0" xfId="0" applyNumberFormat="1" applyFont="1" applyFill="1" applyBorder="1" applyAlignment="1">
      <alignment horizontal="left" indent="1"/>
    </xf>
    <xf numFmtId="14" fontId="7" fillId="0" borderId="18" xfId="0" applyNumberFormat="1" applyFont="1" applyFill="1" applyBorder="1" applyAlignment="1">
      <alignment horizontal="left" indent="1"/>
    </xf>
    <xf numFmtId="1" fontId="7" fillId="0" borderId="7" xfId="0" applyNumberFormat="1" applyFont="1" applyBorder="1" applyAlignment="1"/>
    <xf numFmtId="0" fontId="7" fillId="0" borderId="1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horizontal="left" indent="1"/>
    </xf>
    <xf numFmtId="0" fontId="7" fillId="0" borderId="18" xfId="0" applyFont="1" applyFill="1" applyBorder="1" applyAlignment="1">
      <alignment horizontal="left" indent="1"/>
    </xf>
    <xf numFmtId="1" fontId="7" fillId="0" borderId="7" xfId="0" applyNumberFormat="1" applyFont="1" applyBorder="1" applyAlignment="1">
      <alignment horizontal="right"/>
    </xf>
    <xf numFmtId="1" fontId="3" fillId="0" borderId="0" xfId="0" applyNumberFormat="1" applyFont="1" applyAlignment="1"/>
    <xf numFmtId="0" fontId="16" fillId="0" borderId="0" xfId="1" applyFont="1" applyFill="1" applyBorder="1" applyAlignment="1">
      <alignment horizontal="left" indent="1"/>
    </xf>
    <xf numFmtId="0" fontId="16" fillId="0" borderId="18" xfId="1" applyFont="1" applyFill="1" applyBorder="1" applyAlignment="1">
      <alignment horizontal="left" indent="1"/>
    </xf>
    <xf numFmtId="15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wrapText="1" indent="1"/>
    </xf>
    <xf numFmtId="0" fontId="7" fillId="0" borderId="6" xfId="0" applyFont="1" applyFill="1" applyBorder="1" applyAlignment="1">
      <alignment horizontal="left" indent="1"/>
    </xf>
    <xf numFmtId="0" fontId="7" fillId="0" borderId="7" xfId="0" applyFont="1" applyFill="1" applyBorder="1" applyAlignment="1"/>
    <xf numFmtId="0" fontId="7" fillId="0" borderId="15" xfId="0" applyFont="1" applyFill="1" applyBorder="1" applyAlignment="1"/>
    <xf numFmtId="0" fontId="7" fillId="0" borderId="7" xfId="0" applyFont="1" applyFill="1" applyBorder="1" applyAlignment="1">
      <alignment horizontal="left" indent="1"/>
    </xf>
    <xf numFmtId="0" fontId="7" fillId="0" borderId="15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7" fillId="0" borderId="0" xfId="0" applyFont="1" applyFill="1" applyAlignment="1"/>
    <xf numFmtId="0" fontId="7" fillId="0" borderId="3" xfId="0" applyFont="1" applyFill="1" applyBorder="1" applyAlignment="1">
      <alignment horizontal="left" indent="10"/>
    </xf>
    <xf numFmtId="0" fontId="7" fillId="0" borderId="5" xfId="0" applyFont="1" applyFill="1" applyBorder="1" applyAlignment="1"/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indent="10"/>
    </xf>
    <xf numFmtId="0" fontId="17" fillId="0" borderId="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9" fontId="7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left" indent="2"/>
    </xf>
    <xf numFmtId="0" fontId="7" fillId="0" borderId="5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center"/>
    </xf>
    <xf numFmtId="1" fontId="7" fillId="0" borderId="0" xfId="0" applyNumberFormat="1" applyFont="1" applyBorder="1" applyAlignment="1"/>
    <xf numFmtId="1" fontId="1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left" indent="2"/>
    </xf>
    <xf numFmtId="49" fontId="7" fillId="0" borderId="0" xfId="0" applyNumberFormat="1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3" fillId="0" borderId="0" xfId="0" applyFont="1" applyAlignment="1"/>
    <xf numFmtId="1" fontId="7" fillId="0" borderId="0" xfId="0" applyNumberFormat="1" applyFont="1" applyFill="1" applyAlignment="1"/>
    <xf numFmtId="0" fontId="3" fillId="0" borderId="0" xfId="0" applyFont="1" applyFill="1" applyAlignment="1"/>
    <xf numFmtId="0" fontId="7" fillId="0" borderId="0" xfId="0" applyFont="1" applyFill="1" applyAlignment="1">
      <alignment horizontal="left"/>
    </xf>
    <xf numFmtId="1" fontId="3" fillId="0" borderId="13" xfId="0" applyNumberFormat="1" applyFont="1" applyBorder="1" applyAlignment="1"/>
    <xf numFmtId="0" fontId="3" fillId="0" borderId="11" xfId="0" applyFont="1" applyFill="1" applyBorder="1" applyAlignment="1"/>
    <xf numFmtId="0" fontId="7" fillId="0" borderId="1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1" fontId="7" fillId="0" borderId="1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1" fontId="20" fillId="0" borderId="15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right"/>
    </xf>
    <xf numFmtId="0" fontId="21" fillId="0" borderId="0" xfId="0" applyFont="1" applyFill="1" applyBorder="1" applyAlignment="1"/>
    <xf numFmtId="0" fontId="7" fillId="0" borderId="0" xfId="0" applyFont="1" applyBorder="1" applyAlignment="1"/>
    <xf numFmtId="1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9" fontId="7" fillId="0" borderId="0" xfId="0" applyNumberFormat="1" applyFont="1" applyAlignment="1">
      <alignment horizontal="center"/>
    </xf>
    <xf numFmtId="0" fontId="7" fillId="0" borderId="7" xfId="0" applyFont="1" applyBorder="1" applyAlignment="1"/>
    <xf numFmtId="14" fontId="11" fillId="0" borderId="7" xfId="0" applyNumberFormat="1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left" indent="1"/>
    </xf>
    <xf numFmtId="3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indent="1"/>
    </xf>
    <xf numFmtId="0" fontId="17" fillId="0" borderId="4" xfId="0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17" fillId="0" borderId="5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7" fillId="0" borderId="0" xfId="0" applyFont="1" applyFill="1" applyBorder="1" applyAlignment="1"/>
    <xf numFmtId="1" fontId="7" fillId="0" borderId="16" xfId="0" applyNumberFormat="1" applyFont="1" applyFill="1" applyBorder="1" applyAlignment="1">
      <alignment horizontal="right"/>
    </xf>
    <xf numFmtId="0" fontId="17" fillId="0" borderId="11" xfId="0" applyFont="1" applyFill="1" applyBorder="1" applyAlignment="1">
      <alignment horizontal="left" indent="1"/>
    </xf>
    <xf numFmtId="0" fontId="17" fillId="0" borderId="17" xfId="0" applyFont="1" applyFill="1" applyBorder="1" applyAlignment="1"/>
    <xf numFmtId="1" fontId="7" fillId="0" borderId="9" xfId="0" applyNumberFormat="1" applyFont="1" applyFill="1" applyBorder="1" applyAlignment="1"/>
    <xf numFmtId="0" fontId="9" fillId="0" borderId="11" xfId="0" applyFont="1" applyFill="1" applyBorder="1" applyAlignment="1">
      <alignment horizontal="left" indent="1"/>
    </xf>
    <xf numFmtId="0" fontId="15" fillId="0" borderId="17" xfId="0" applyFont="1" applyFill="1" applyBorder="1" applyAlignment="1"/>
    <xf numFmtId="1" fontId="8" fillId="0" borderId="9" xfId="0" applyNumberFormat="1" applyFont="1" applyFill="1" applyBorder="1" applyAlignment="1"/>
    <xf numFmtId="0" fontId="17" fillId="0" borderId="19" xfId="0" applyFont="1" applyFill="1" applyBorder="1" applyAlignment="1">
      <alignment horizontal="left" indent="1"/>
    </xf>
    <xf numFmtId="0" fontId="17" fillId="0" borderId="20" xfId="0" applyFont="1" applyFill="1" applyBorder="1" applyAlignment="1"/>
    <xf numFmtId="0" fontId="17" fillId="0" borderId="13" xfId="0" applyFont="1" applyFill="1" applyBorder="1" applyAlignment="1"/>
    <xf numFmtId="3" fontId="7" fillId="0" borderId="13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indent="1"/>
    </xf>
    <xf numFmtId="0" fontId="17" fillId="0" borderId="15" xfId="0" applyFont="1" applyFill="1" applyBorder="1" applyAlignment="1"/>
    <xf numFmtId="1" fontId="7" fillId="0" borderId="8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" fontId="8" fillId="0" borderId="16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7" fillId="0" borderId="19" xfId="0" applyFont="1" applyFill="1" applyBorder="1" applyAlignment="1"/>
    <xf numFmtId="0" fontId="7" fillId="0" borderId="13" xfId="0" applyFont="1" applyFill="1" applyBorder="1" applyAlignment="1"/>
    <xf numFmtId="1" fontId="3" fillId="0" borderId="2" xfId="0" applyNumberFormat="1" applyFont="1" applyFill="1" applyBorder="1" applyAlignment="1">
      <alignment horizontal="right"/>
    </xf>
    <xf numFmtId="0" fontId="24" fillId="0" borderId="1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Fill="1" applyAlignment="1"/>
    <xf numFmtId="0" fontId="25" fillId="0" borderId="0" xfId="0" applyFont="1" applyFill="1" applyAlignment="1">
      <alignment horizontal="left" indent="1"/>
    </xf>
    <xf numFmtId="14" fontId="25" fillId="0" borderId="0" xfId="0" applyNumberFormat="1" applyFont="1" applyFill="1" applyAlignment="1">
      <alignment horizontal="left" indent="1"/>
    </xf>
    <xf numFmtId="1" fontId="25" fillId="0" borderId="0" xfId="0" applyNumberFormat="1" applyFont="1" applyFill="1" applyAlignment="1"/>
    <xf numFmtId="3" fontId="25" fillId="0" borderId="0" xfId="0" applyNumberFormat="1" applyFont="1" applyFill="1" applyAlignment="1"/>
    <xf numFmtId="0" fontId="25" fillId="0" borderId="0" xfId="0" applyFont="1" applyAlignment="1"/>
    <xf numFmtId="1" fontId="7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 applyAlignment="1">
      <alignment horizontal="right" wrapText="1"/>
    </xf>
    <xf numFmtId="0" fontId="7" fillId="0" borderId="3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indent="1"/>
    </xf>
    <xf numFmtId="1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 applyBorder="1" applyAlignment="1"/>
    <xf numFmtId="0" fontId="7" fillId="0" borderId="0" xfId="0" applyFont="1" applyFill="1" applyAlignment="1">
      <alignment horizontal="left" wrapText="1" indent="1"/>
    </xf>
    <xf numFmtId="0" fontId="3" fillId="0" borderId="0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/>
    </xf>
    <xf numFmtId="0" fontId="7" fillId="0" borderId="6" xfId="0" applyFont="1" applyFill="1" applyBorder="1" applyAlignment="1"/>
    <xf numFmtId="0" fontId="3" fillId="0" borderId="13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7" fillId="0" borderId="0" xfId="0" applyFont="1" applyFill="1"/>
    <xf numFmtId="3" fontId="7" fillId="0" borderId="0" xfId="0" applyNumberFormat="1" applyFont="1"/>
    <xf numFmtId="0" fontId="7" fillId="0" borderId="3" xfId="0" applyFont="1" applyFill="1" applyBorder="1" applyAlignment="1">
      <alignment horizontal="left" indent="2"/>
    </xf>
    <xf numFmtId="0" fontId="7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left" vertical="center" indent="7"/>
    </xf>
    <xf numFmtId="0" fontId="7" fillId="0" borderId="12" xfId="0" applyFont="1" applyFill="1" applyBorder="1" applyAlignment="1">
      <alignment horizontal="left" indent="10"/>
    </xf>
    <xf numFmtId="0" fontId="7" fillId="0" borderId="3" xfId="0" applyFont="1" applyFill="1" applyBorder="1" applyAlignment="1">
      <alignment horizontal="left" indent="11"/>
    </xf>
    <xf numFmtId="0" fontId="7" fillId="0" borderId="5" xfId="0" applyFont="1" applyFill="1" applyBorder="1" applyAlignment="1">
      <alignment horizontal="left" indent="1"/>
    </xf>
    <xf numFmtId="1" fontId="13" fillId="0" borderId="0" xfId="0" applyNumberFormat="1" applyFont="1" applyBorder="1" applyAlignment="1"/>
    <xf numFmtId="1" fontId="13" fillId="0" borderId="0" xfId="0" applyNumberFormat="1" applyFont="1" applyAlignment="1"/>
    <xf numFmtId="1" fontId="7" fillId="0" borderId="0" xfId="0" applyNumberFormat="1" applyFont="1" applyFill="1" applyAlignment="1">
      <alignment horizontal="right" vertical="center" wrapText="1"/>
    </xf>
    <xf numFmtId="1" fontId="23" fillId="0" borderId="0" xfId="0" applyNumberFormat="1" applyFont="1" applyFill="1" applyBorder="1" applyAlignment="1">
      <alignment horizontal="left" vertical="center"/>
    </xf>
    <xf numFmtId="1" fontId="23" fillId="0" borderId="0" xfId="0" applyNumberFormat="1" applyFont="1" applyFill="1" applyBorder="1" applyAlignment="1">
      <alignment horizontal="left"/>
    </xf>
    <xf numFmtId="0" fontId="3" fillId="0" borderId="14" xfId="0" applyFont="1" applyBorder="1" applyAlignment="1">
      <alignment horizontal="left" indent="1"/>
    </xf>
    <xf numFmtId="14" fontId="7" fillId="0" borderId="14" xfId="0" applyNumberFormat="1" applyFont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1" fontId="7" fillId="0" borderId="0" xfId="0" applyNumberFormat="1" applyFont="1" applyBorder="1" applyAlignment="1">
      <alignment horizontal="right"/>
    </xf>
    <xf numFmtId="9" fontId="7" fillId="0" borderId="14" xfId="0" applyNumberFormat="1" applyFont="1" applyBorder="1" applyAlignment="1">
      <alignment horizontal="left"/>
    </xf>
    <xf numFmtId="0" fontId="26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14" xfId="0" applyFont="1" applyBorder="1" applyAlignment="1"/>
    <xf numFmtId="1" fontId="18" fillId="0" borderId="14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10" fillId="0" borderId="0" xfId="0" applyNumberFormat="1" applyFont="1" applyBorder="1" applyAlignment="1"/>
    <xf numFmtId="3" fontId="7" fillId="0" borderId="14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indent="2"/>
    </xf>
    <xf numFmtId="9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7" fillId="0" borderId="0" xfId="0" applyFont="1" applyBorder="1" applyAlignment="1"/>
    <xf numFmtId="0" fontId="3" fillId="0" borderId="14" xfId="0" applyFont="1" applyBorder="1" applyAlignment="1"/>
    <xf numFmtId="0" fontId="7" fillId="0" borderId="22" xfId="0" applyFont="1" applyBorder="1" applyAlignment="1">
      <alignment horizontal="center"/>
    </xf>
    <xf numFmtId="0" fontId="8" fillId="0" borderId="13" xfId="0" applyFont="1" applyFill="1" applyBorder="1" applyAlignment="1"/>
    <xf numFmtId="0" fontId="7" fillId="0" borderId="13" xfId="0" applyFont="1" applyBorder="1" applyAlignment="1"/>
    <xf numFmtId="3" fontId="7" fillId="0" borderId="23" xfId="0" applyNumberFormat="1" applyFont="1" applyBorder="1" applyAlignment="1"/>
    <xf numFmtId="1" fontId="7" fillId="0" borderId="23" xfId="0" applyNumberFormat="1" applyFont="1" applyBorder="1" applyAlignment="1"/>
    <xf numFmtId="1" fontId="3" fillId="0" borderId="23" xfId="0" applyNumberFormat="1" applyFont="1" applyBorder="1" applyAlignment="1"/>
    <xf numFmtId="0" fontId="7" fillId="0" borderId="24" xfId="0" applyFont="1" applyBorder="1" applyAlignment="1"/>
    <xf numFmtId="1" fontId="7" fillId="0" borderId="24" xfId="0" applyNumberFormat="1" applyFont="1" applyBorder="1" applyAlignment="1"/>
    <xf numFmtId="0" fontId="7" fillId="0" borderId="23" xfId="0" applyFont="1" applyBorder="1" applyAlignment="1"/>
    <xf numFmtId="0" fontId="8" fillId="0" borderId="0" xfId="0" applyFont="1" applyBorder="1" applyAlignment="1">
      <alignment horizontal="right"/>
    </xf>
    <xf numFmtId="1" fontId="2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wrapText="1" indent="1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11" fillId="0" borderId="0" xfId="0" applyFont="1" applyFill="1" applyAlignment="1">
      <alignment horizontal="left" wrapText="1" indent="1"/>
    </xf>
    <xf numFmtId="0" fontId="14" fillId="0" borderId="0" xfId="0" applyFont="1" applyFill="1" applyBorder="1" applyAlignment="1"/>
    <xf numFmtId="0" fontId="2" fillId="0" borderId="0" xfId="0" applyFont="1" applyFill="1" applyAlignment="1"/>
    <xf numFmtId="3" fontId="7" fillId="0" borderId="25" xfId="0" applyNumberFormat="1" applyFont="1" applyBorder="1" applyAlignment="1"/>
    <xf numFmtId="0" fontId="2" fillId="0" borderId="0" xfId="0" applyFont="1" applyAlignment="1">
      <alignment horizontal="center"/>
    </xf>
    <xf numFmtId="1" fontId="31" fillId="0" borderId="7" xfId="0" applyNumberFormat="1" applyFont="1" applyBorder="1" applyAlignment="1"/>
    <xf numFmtId="1" fontId="31" fillId="0" borderId="0" xfId="0" applyNumberFormat="1" applyFont="1" applyAlignment="1"/>
    <xf numFmtId="1" fontId="32" fillId="0" borderId="13" xfId="0" applyNumberFormat="1" applyFont="1" applyBorder="1" applyAlignment="1"/>
    <xf numFmtId="1" fontId="27" fillId="0" borderId="0" xfId="0" applyNumberFormat="1" applyFont="1" applyBorder="1" applyAlignment="1">
      <alignment horizontal="center"/>
    </xf>
    <xf numFmtId="1" fontId="33" fillId="0" borderId="0" xfId="0" applyNumberFormat="1" applyFont="1" applyAlignment="1"/>
    <xf numFmtId="0" fontId="28" fillId="0" borderId="9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1" fontId="28" fillId="0" borderId="8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/>
    <xf numFmtId="1" fontId="3" fillId="2" borderId="2" xfId="0" applyNumberFormat="1" applyFont="1" applyFill="1" applyBorder="1" applyAlignment="1">
      <alignment horizontal="right"/>
    </xf>
    <xf numFmtId="0" fontId="36" fillId="0" borderId="0" xfId="3" applyFont="1" applyBorder="1" applyAlignment="1">
      <alignment horizontal="center" vertical="center"/>
    </xf>
    <xf numFmtId="1" fontId="34" fillId="0" borderId="0" xfId="2" applyNumberFormat="1" applyFont="1" applyFill="1" applyAlignment="1">
      <alignment horizontal="center"/>
    </xf>
    <xf numFmtId="0" fontId="3" fillId="0" borderId="14" xfId="0" applyFont="1" applyBorder="1"/>
    <xf numFmtId="0" fontId="2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 indent="1"/>
    </xf>
    <xf numFmtId="0" fontId="12" fillId="0" borderId="0" xfId="0" applyFont="1" applyBorder="1" applyAlignment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1" fontId="29" fillId="0" borderId="28" xfId="0" applyNumberFormat="1" applyFont="1" applyBorder="1" applyAlignment="1">
      <alignment horizontal="left"/>
    </xf>
    <xf numFmtId="0" fontId="2" fillId="0" borderId="29" xfId="0" applyFont="1" applyFill="1" applyBorder="1"/>
    <xf numFmtId="0" fontId="7" fillId="0" borderId="33" xfId="0" applyFont="1" applyBorder="1"/>
    <xf numFmtId="0" fontId="7" fillId="0" borderId="34" xfId="0" applyFont="1" applyBorder="1" applyAlignment="1"/>
    <xf numFmtId="1" fontId="7" fillId="0" borderId="34" xfId="0" applyNumberFormat="1" applyFont="1" applyBorder="1" applyAlignment="1"/>
    <xf numFmtId="1" fontId="7" fillId="0" borderId="35" xfId="0" applyNumberFormat="1" applyFont="1" applyBorder="1" applyAlignment="1"/>
    <xf numFmtId="1" fontId="12" fillId="0" borderId="34" xfId="0" applyNumberFormat="1" applyFont="1" applyBorder="1" applyAlignment="1"/>
    <xf numFmtId="0" fontId="4" fillId="0" borderId="34" xfId="0" applyFont="1" applyBorder="1" applyAlignment="1"/>
    <xf numFmtId="0" fontId="12" fillId="0" borderId="38" xfId="0" applyFont="1" applyBorder="1" applyAlignment="1"/>
    <xf numFmtId="0" fontId="7" fillId="0" borderId="15" xfId="0" applyFont="1" applyBorder="1" applyAlignment="1"/>
    <xf numFmtId="0" fontId="26" fillId="0" borderId="36" xfId="0" applyFont="1" applyFill="1" applyBorder="1" applyAlignment="1"/>
    <xf numFmtId="0" fontId="3" fillId="0" borderId="31" xfId="0" applyFont="1" applyBorder="1"/>
    <xf numFmtId="0" fontId="7" fillId="0" borderId="32" xfId="0" applyFont="1" applyBorder="1"/>
    <xf numFmtId="0" fontId="3" fillId="0" borderId="14" xfId="0" applyFont="1" applyFill="1" applyBorder="1" applyAlignment="1"/>
    <xf numFmtId="0" fontId="3" fillId="0" borderId="35" xfId="0" applyFont="1" applyBorder="1" applyAlignment="1"/>
    <xf numFmtId="0" fontId="7" fillId="0" borderId="39" xfId="0" applyFont="1" applyBorder="1" applyAlignment="1"/>
    <xf numFmtId="0" fontId="7" fillId="0" borderId="39" xfId="0" applyFont="1" applyBorder="1" applyAlignment="1">
      <alignment horizontal="left" indent="1"/>
    </xf>
    <xf numFmtId="0" fontId="7" fillId="0" borderId="40" xfId="0" applyFont="1" applyBorder="1" applyAlignment="1"/>
    <xf numFmtId="0" fontId="7" fillId="0" borderId="41" xfId="0" applyFont="1" applyBorder="1" applyAlignment="1"/>
    <xf numFmtId="0" fontId="7" fillId="0" borderId="14" xfId="0" applyFont="1" applyBorder="1" applyAlignment="1">
      <alignment horizontal="left" indent="2"/>
    </xf>
    <xf numFmtId="1" fontId="3" fillId="5" borderId="21" xfId="0" applyNumberFormat="1" applyFont="1" applyFill="1" applyBorder="1" applyAlignment="1"/>
    <xf numFmtId="0" fontId="3" fillId="5" borderId="0" xfId="0" applyFont="1" applyFill="1" applyAlignment="1"/>
    <xf numFmtId="0" fontId="12" fillId="0" borderId="0" xfId="0" applyFont="1" applyAlignment="1">
      <alignment horizontal="center"/>
    </xf>
    <xf numFmtId="1" fontId="3" fillId="5" borderId="0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12" fillId="0" borderId="30" xfId="0" applyFont="1" applyFill="1" applyBorder="1" applyAlignment="1">
      <alignment horizontal="center"/>
    </xf>
    <xf numFmtId="0" fontId="12" fillId="0" borderId="37" xfId="0" applyFont="1" applyBorder="1" applyAlignment="1"/>
    <xf numFmtId="3" fontId="13" fillId="0" borderId="0" xfId="0" applyNumberFormat="1" applyFont="1" applyFill="1" applyBorder="1" applyAlignment="1">
      <alignment horizontal="center"/>
    </xf>
    <xf numFmtId="1" fontId="12" fillId="5" borderId="9" xfId="0" applyNumberFormat="1" applyFont="1" applyFill="1" applyBorder="1" applyAlignment="1">
      <alignment horizontal="right"/>
    </xf>
    <xf numFmtId="0" fontId="29" fillId="0" borderId="11" xfId="0" applyFont="1" applyFill="1" applyBorder="1" applyAlignment="1">
      <alignment horizontal="left" indent="1"/>
    </xf>
    <xf numFmtId="1" fontId="7" fillId="0" borderId="3" xfId="0" applyNumberFormat="1" applyFont="1" applyFill="1" applyBorder="1" applyAlignment="1">
      <alignment horizontal="right" vertical="center"/>
    </xf>
    <xf numFmtId="1" fontId="7" fillId="0" borderId="3" xfId="0" applyNumberFormat="1" applyFont="1" applyFill="1" applyBorder="1" applyAlignment="1">
      <alignment horizontal="right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1" fontId="7" fillId="0" borderId="1" xfId="0" applyNumberFormat="1" applyFont="1" applyBorder="1" applyAlignment="1"/>
    <xf numFmtId="1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 indent="1"/>
    </xf>
    <xf numFmtId="0" fontId="7" fillId="0" borderId="0" xfId="0" applyFont="1" applyFill="1" applyBorder="1"/>
    <xf numFmtId="0" fontId="7" fillId="0" borderId="0" xfId="0" applyFont="1" applyBorder="1"/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indent="10"/>
    </xf>
    <xf numFmtId="0" fontId="11" fillId="0" borderId="0" xfId="0" applyFont="1" applyFill="1" applyBorder="1" applyAlignment="1">
      <alignment horizontal="left" wrapText="1"/>
    </xf>
    <xf numFmtId="0" fontId="7" fillId="0" borderId="12" xfId="0" applyFont="1" applyFill="1" applyBorder="1" applyAlignment="1"/>
    <xf numFmtId="9" fontId="7" fillId="0" borderId="12" xfId="0" applyNumberFormat="1" applyFont="1" applyFill="1" applyBorder="1" applyAlignment="1">
      <alignment horizontal="left"/>
    </xf>
    <xf numFmtId="0" fontId="39" fillId="0" borderId="12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5" fontId="7" fillId="0" borderId="12" xfId="0" applyNumberFormat="1" applyFont="1" applyFill="1" applyBorder="1" applyAlignment="1">
      <alignment horizontal="left"/>
    </xf>
    <xf numFmtId="0" fontId="7" fillId="0" borderId="11" xfId="0" applyFont="1" applyFill="1" applyBorder="1" applyAlignment="1"/>
    <xf numFmtId="0" fontId="7" fillId="0" borderId="6" xfId="0" applyFont="1" applyFill="1" applyBorder="1" applyAlignment="1">
      <alignment horizontal="left"/>
    </xf>
    <xf numFmtId="0" fontId="7" fillId="0" borderId="39" xfId="0" applyFont="1" applyBorder="1"/>
    <xf numFmtId="0" fontId="7" fillId="0" borderId="44" xfId="0" applyFont="1" applyBorder="1"/>
    <xf numFmtId="0" fontId="38" fillId="0" borderId="45" xfId="0" applyFont="1" applyFill="1" applyBorder="1" applyAlignment="1">
      <alignment horizontal="center" wrapText="1"/>
    </xf>
    <xf numFmtId="0" fontId="7" fillId="0" borderId="14" xfId="0" applyFont="1" applyBorder="1"/>
    <xf numFmtId="0" fontId="38" fillId="0" borderId="43" xfId="0" applyFont="1" applyFill="1" applyBorder="1" applyAlignment="1">
      <alignment horizontal="center" wrapText="1"/>
    </xf>
    <xf numFmtId="1" fontId="7" fillId="0" borderId="43" xfId="0" applyNumberFormat="1" applyFont="1" applyFill="1" applyBorder="1" applyAlignment="1">
      <alignment horizontal="center" wrapText="1"/>
    </xf>
    <xf numFmtId="1" fontId="7" fillId="0" borderId="43" xfId="0" applyNumberFormat="1" applyFont="1" applyFill="1" applyBorder="1" applyAlignment="1">
      <alignment horizontal="right" wrapText="1"/>
    </xf>
    <xf numFmtId="0" fontId="7" fillId="0" borderId="43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 vertical="center"/>
    </xf>
    <xf numFmtId="15" fontId="7" fillId="0" borderId="43" xfId="0" applyNumberFormat="1" applyFont="1" applyFill="1" applyBorder="1" applyAlignment="1">
      <alignment horizontal="left"/>
    </xf>
    <xf numFmtId="0" fontId="7" fillId="0" borderId="43" xfId="0" applyFont="1" applyFill="1" applyBorder="1" applyAlignment="1"/>
    <xf numFmtId="0" fontId="11" fillId="0" borderId="43" xfId="0" applyFont="1" applyFill="1" applyBorder="1" applyAlignment="1">
      <alignment horizontal="left" wrapText="1"/>
    </xf>
    <xf numFmtId="0" fontId="7" fillId="0" borderId="43" xfId="0" applyFont="1" applyBorder="1" applyAlignment="1"/>
    <xf numFmtId="0" fontId="7" fillId="0" borderId="25" xfId="0" applyFont="1" applyBorder="1" applyAlignment="1"/>
    <xf numFmtId="0" fontId="7" fillId="0" borderId="44" xfId="0" applyFont="1" applyBorder="1" applyAlignment="1"/>
    <xf numFmtId="1" fontId="7" fillId="0" borderId="45" xfId="0" applyNumberFormat="1" applyFont="1" applyFill="1" applyBorder="1" applyAlignment="1">
      <alignment horizontal="center" wrapText="1"/>
    </xf>
    <xf numFmtId="0" fontId="7" fillId="0" borderId="46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 indent="1"/>
    </xf>
    <xf numFmtId="0" fontId="7" fillId="0" borderId="12" xfId="0" applyFont="1" applyFill="1" applyBorder="1" applyAlignment="1">
      <alignment horizontal="left" wrapText="1" indent="1"/>
    </xf>
    <xf numFmtId="0" fontId="7" fillId="0" borderId="1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 indent="1"/>
    </xf>
    <xf numFmtId="0" fontId="17" fillId="0" borderId="4" xfId="0" applyFont="1" applyFill="1" applyBorder="1" applyAlignment="1">
      <alignment horizontal="left" wrapText="1" indent="1"/>
    </xf>
    <xf numFmtId="0" fontId="7" fillId="0" borderId="0" xfId="0" applyFont="1" applyFill="1" applyAlignment="1">
      <alignment horizontal="left" wrapText="1" indent="1"/>
    </xf>
    <xf numFmtId="0" fontId="17" fillId="0" borderId="3" xfId="0" applyFont="1" applyFill="1" applyBorder="1" applyAlignment="1">
      <alignment horizontal="left" vertical="center" wrapText="1" indent="1"/>
    </xf>
    <xf numFmtId="0" fontId="17" fillId="0" borderId="4" xfId="0" applyFont="1" applyFill="1" applyBorder="1" applyAlignment="1">
      <alignment horizontal="left" vertical="center" wrapText="1" indent="1"/>
    </xf>
    <xf numFmtId="0" fontId="11" fillId="0" borderId="0" xfId="0" applyFont="1" applyFill="1" applyAlignment="1">
      <alignment horizontal="left" vertical="center" wrapText="1" indent="1"/>
    </xf>
    <xf numFmtId="0" fontId="11" fillId="0" borderId="0" xfId="0" applyFont="1" applyFill="1" applyAlignment="1">
      <alignment horizontal="left" wrapText="1" indent="1"/>
    </xf>
    <xf numFmtId="0" fontId="11" fillId="0" borderId="0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center" vertical="center"/>
    </xf>
    <xf numFmtId="1" fontId="34" fillId="3" borderId="14" xfId="2" applyNumberFormat="1" applyFont="1" applyFill="1" applyBorder="1" applyAlignment="1">
      <alignment horizontal="center"/>
    </xf>
    <xf numFmtId="1" fontId="34" fillId="3" borderId="0" xfId="2" applyNumberFormat="1" applyFont="1" applyFill="1" applyAlignment="1">
      <alignment horizontal="center"/>
    </xf>
    <xf numFmtId="0" fontId="36" fillId="0" borderId="14" xfId="3" applyFont="1" applyBorder="1" applyAlignment="1">
      <alignment horizontal="center" vertical="center"/>
    </xf>
    <xf numFmtId="0" fontId="36" fillId="0" borderId="0" xfId="3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indent="2"/>
    </xf>
    <xf numFmtId="0" fontId="7" fillId="0" borderId="4" xfId="0" applyFont="1" applyFill="1" applyBorder="1" applyAlignment="1">
      <alignment horizontal="left" indent="2"/>
    </xf>
    <xf numFmtId="0" fontId="3" fillId="0" borderId="0" xfId="0" applyFont="1" applyFill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1" fontId="34" fillId="3" borderId="0" xfId="2" applyNumberFormat="1" applyFont="1" applyFill="1" applyBorder="1" applyAlignment="1">
      <alignment horizontal="center"/>
    </xf>
    <xf numFmtId="0" fontId="36" fillId="0" borderId="26" xfId="3" applyFont="1" applyBorder="1" applyAlignment="1">
      <alignment horizontal="center" vertical="center"/>
    </xf>
    <xf numFmtId="0" fontId="36" fillId="0" borderId="27" xfId="3" applyFont="1" applyBorder="1" applyAlignment="1">
      <alignment horizontal="center" vertical="center"/>
    </xf>
    <xf numFmtId="0" fontId="37" fillId="4" borderId="28" xfId="4" applyFont="1" applyFill="1" applyBorder="1" applyAlignment="1">
      <alignment horizontal="center" vertical="center"/>
    </xf>
    <xf numFmtId="0" fontId="37" fillId="4" borderId="29" xfId="4" applyFont="1" applyFill="1" applyBorder="1" applyAlignment="1">
      <alignment horizontal="center" vertical="center"/>
    </xf>
    <xf numFmtId="0" fontId="37" fillId="4" borderId="30" xfId="4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left" wrapText="1"/>
    </xf>
    <xf numFmtId="0" fontId="18" fillId="0" borderId="43" xfId="0" applyFont="1" applyFill="1" applyBorder="1" applyAlignment="1">
      <alignment horizontal="left" wrapText="1"/>
    </xf>
    <xf numFmtId="1" fontId="41" fillId="3" borderId="31" xfId="2" applyNumberFormat="1" applyFont="1" applyFill="1" applyBorder="1" applyAlignment="1">
      <alignment horizontal="center"/>
    </xf>
    <xf numFmtId="1" fontId="41" fillId="3" borderId="32" xfId="2" applyNumberFormat="1" applyFont="1" applyFill="1" applyBorder="1" applyAlignment="1">
      <alignment horizontal="center"/>
    </xf>
    <xf numFmtId="1" fontId="41" fillId="3" borderId="42" xfId="2" applyNumberFormat="1" applyFont="1" applyFill="1" applyBorder="1" applyAlignment="1">
      <alignment horizontal="center"/>
    </xf>
    <xf numFmtId="1" fontId="41" fillId="3" borderId="14" xfId="2" applyNumberFormat="1" applyFont="1" applyFill="1" applyBorder="1" applyAlignment="1">
      <alignment horizontal="center"/>
    </xf>
    <xf numFmtId="1" fontId="41" fillId="3" borderId="0" xfId="2" applyNumberFormat="1" applyFont="1" applyFill="1" applyBorder="1" applyAlignment="1">
      <alignment horizontal="center"/>
    </xf>
    <xf numFmtId="1" fontId="41" fillId="3" borderId="43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36" fillId="0" borderId="43" xfId="3" applyFont="1" applyBorder="1" applyAlignment="1">
      <alignment horizontal="center" vertical="center"/>
    </xf>
    <xf numFmtId="0" fontId="38" fillId="0" borderId="7" xfId="0" applyFont="1" applyFill="1" applyBorder="1" applyAlignment="1">
      <alignment horizontal="center" wrapText="1"/>
    </xf>
    <xf numFmtId="0" fontId="38" fillId="0" borderId="25" xfId="0" applyFont="1" applyFill="1" applyBorder="1" applyAlignment="1">
      <alignment horizontal="center" wrapText="1"/>
    </xf>
  </cellXfs>
  <cellStyles count="5">
    <cellStyle name="Hyperlink" xfId="1" builtinId="8"/>
    <cellStyle name="Hyperlink 2" xfId="3" xr:uid="{0F3F56B6-542E-43E1-9282-AFD9C9FF0A1E}"/>
    <cellStyle name="Normal" xfId="0" builtinId="0"/>
    <cellStyle name="Normal 2 2" xfId="4" xr:uid="{E11B47FE-A7F8-4548-9E55-B01CFAA1139A}"/>
    <cellStyle name="Normal 4" xfId="2" xr:uid="{DBE6FF41-3539-4321-8E89-D3F4C89D87D6}"/>
  </cellStyles>
  <dxfs count="0"/>
  <tableStyles count="0" defaultTableStyle="TableStyleMedium2" defaultPivotStyle="PivotStyleLight16"/>
  <colors>
    <mruColors>
      <color rgb="FF280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thore/Desktop/April-2020/ITR3_2019_PR5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 refreshError="1"/>
      <sheetData sheetId="1" refreshError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 refreshError="1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 refreshError="1">
        <row r="63">
          <cell r="J63">
            <v>0</v>
          </cell>
        </row>
        <row r="77">
          <cell r="J77">
            <v>0</v>
          </cell>
        </row>
      </sheetData>
      <sheetData sheetId="4" refreshError="1"/>
      <sheetData sheetId="5" refreshError="1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 refreshError="1"/>
      <sheetData sheetId="7" refreshError="1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 refreshError="1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 refreshError="1"/>
      <sheetData sheetId="10" refreshError="1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 refreshError="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 refreshError="1"/>
      <sheetData sheetId="13" refreshError="1">
        <row r="16">
          <cell r="J16">
            <v>0</v>
          </cell>
        </row>
      </sheetData>
      <sheetData sheetId="14" refreshError="1">
        <row r="57">
          <cell r="I57">
            <v>0</v>
          </cell>
        </row>
      </sheetData>
      <sheetData sheetId="15" refreshError="1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 refreshError="1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 refreshError="1">
        <row r="19">
          <cell r="H19">
            <v>0</v>
          </cell>
        </row>
        <row r="39">
          <cell r="H39">
            <v>0</v>
          </cell>
        </row>
      </sheetData>
      <sheetData sheetId="18" refreshError="1">
        <row r="12">
          <cell r="E12">
            <v>0</v>
          </cell>
        </row>
      </sheetData>
      <sheetData sheetId="19" refreshError="1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 refreshError="1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 refreshError="1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 refreshError="1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 refreshError="1">
        <row r="14">
          <cell r="D14">
            <v>0</v>
          </cell>
        </row>
      </sheetData>
      <sheetData sheetId="25" refreshError="1">
        <row r="6">
          <cell r="G6">
            <v>0</v>
          </cell>
        </row>
        <row r="17">
          <cell r="G17">
            <v>0</v>
          </cell>
        </row>
      </sheetData>
      <sheetData sheetId="26" refreshError="1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 refreshError="1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 refreshError="1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 refreshError="1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 refreshError="1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 refreshError="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 refreshError="1">
        <row r="8">
          <cell r="H8">
            <v>0</v>
          </cell>
        </row>
      </sheetData>
      <sheetData sheetId="33" refreshError="1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 refreshError="1"/>
      <sheetData sheetId="35" refreshError="1"/>
      <sheetData sheetId="36" refreshError="1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 refreshError="1"/>
      <sheetData sheetId="38" refreshError="1"/>
      <sheetData sheetId="39" refreshError="1"/>
      <sheetData sheetId="40" refreshError="1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 refreshError="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Manufacturing Account"/>
      <sheetName val="Trading Account"/>
      <sheetName val="Profit and Loss"/>
      <sheetName val="Part A - OI"/>
      <sheetName val="Quantitative Details"/>
      <sheetName val="Sheet1"/>
      <sheetName val="ITold"/>
      <sheetName val="Schedule S"/>
      <sheetName val="House Property"/>
      <sheetName val="BP"/>
      <sheetName val="DPM - DOA"/>
      <sheetName val="DEP_DCG"/>
      <sheetName val="ESR"/>
      <sheetName val="CG"/>
      <sheetName val="Tool-112A"/>
      <sheetName val="Tool-115AD(1)(iii) proviso"/>
      <sheetName val="OS"/>
      <sheetName val="CYLA - BFLA"/>
      <sheetName val="CFL"/>
      <sheetName val="Unabsorbed Depreciation"/>
      <sheetName val="ICDS"/>
      <sheetName val="10AA"/>
      <sheetName val="80"/>
      <sheetName val="VI-A"/>
      <sheetName val="80G"/>
      <sheetName val="RA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GST"/>
      <sheetName val="Part B - TI TTI"/>
      <sheetName val="Tax Calculated"/>
      <sheetName val="IT"/>
      <sheetName val="TDS"/>
      <sheetName val="Verification"/>
      <sheetName val="OLDAL"/>
      <sheetName val="Temporary Values"/>
      <sheetName val="DropDownValues"/>
      <sheetName val="SUMMARY"/>
      <sheetName val="BA"/>
      <sheetName val="CT"/>
      <sheetName val="GST1"/>
      <sheetName val="FD"/>
      <sheetName val="C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7">
          <cell r="F1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CA3" t="str">
            <v>(Select)</v>
          </cell>
          <cell r="CB3" t="str">
            <v>(Select)</v>
          </cell>
          <cell r="CD3" t="str">
            <v>(Select)</v>
          </cell>
        </row>
        <row r="4">
          <cell r="CA4" t="str">
            <v>08001-Renting of land transport equipment</v>
          </cell>
          <cell r="CB4" t="str">
            <v>01001-Growing and manufacturing of tea</v>
          </cell>
          <cell r="CD4" t="str">
            <v>14001-Software development</v>
          </cell>
        </row>
        <row r="5">
          <cell r="CA5" t="str">
            <v>11002-Packers and movers</v>
          </cell>
          <cell r="CB5" t="str">
            <v>01002-Growing and manufacturing of coffee</v>
          </cell>
          <cell r="CD5" t="str">
            <v>14002-Other software consultancy</v>
          </cell>
        </row>
        <row r="6">
          <cell r="CA6" t="str">
            <v xml:space="preserve">11008-Freight transport by road </v>
          </cell>
          <cell r="CB6" t="str">
            <v>01003-Growing and manufacturing of rubber</v>
          </cell>
          <cell r="CD6" t="str">
            <v>14003-Data processing</v>
          </cell>
        </row>
        <row r="7">
          <cell r="CA7" t="str">
            <v xml:space="preserve">11010-Forwarding of freight </v>
          </cell>
          <cell r="CB7" t="str">
            <v>01004-Market gardening and horticulture specialties</v>
          </cell>
          <cell r="CD7" t="str">
            <v>14004-Database activities and distribution of electronic content</v>
          </cell>
        </row>
        <row r="8">
          <cell r="CA8" t="str">
            <v xml:space="preserve">11011-Receiving and acceptance of freight </v>
          </cell>
          <cell r="CB8" t="str">
            <v>01005-Raising of silk worms and production of silk</v>
          </cell>
          <cell r="CD8" t="str">
            <v>14005-Other IT enabled services</v>
          </cell>
        </row>
        <row r="9">
          <cell r="CA9" t="str">
            <v xml:space="preserve">11012-Cargo handling </v>
          </cell>
          <cell r="CB9" t="str">
            <v>01006-Raising of bees and production of honey</v>
          </cell>
          <cell r="CD9" t="str">
            <v>14006-BPO services</v>
          </cell>
        </row>
        <row r="10">
          <cell r="CA10" t="str">
            <v xml:space="preserve">11015-Other Transport &amp; Logistics services n.e.c </v>
          </cell>
          <cell r="CB10" t="str">
            <v>01007-Raising of poultry and production of eggs</v>
          </cell>
          <cell r="CD10" t="str">
            <v>14008-Maintenance and repair of office, accounting and computing machinery</v>
          </cell>
        </row>
        <row r="11">
          <cell r="CB11" t="str">
            <v>01008-Rearing of sheep and production of wool</v>
          </cell>
          <cell r="CD11" t="str">
            <v>16001-Legal profession</v>
          </cell>
        </row>
        <row r="12">
          <cell r="CB12" t="str">
            <v>01009-Rearing of animals and production of animal products</v>
          </cell>
          <cell r="CD12" t="str">
            <v>16002-Accounting, book-keeping and auditing profession</v>
          </cell>
        </row>
        <row r="13">
          <cell r="CB13" t="str">
            <v>01010-Agricultural and animal husbandry services</v>
          </cell>
          <cell r="CD13" t="str">
            <v>16003-Tax consultancy</v>
          </cell>
        </row>
        <row r="14">
          <cell r="CB14" t="str">
            <v>01011-Soil conservation, soil testing and soil desalination services</v>
          </cell>
          <cell r="CD14" t="str">
            <v>16004-Architectural profession</v>
          </cell>
        </row>
        <row r="15">
          <cell r="CB15" t="str">
            <v>01012-Hunting, trapping and game propagation services</v>
          </cell>
          <cell r="CD15" t="str">
            <v>16005-Engineering and technical consultancy</v>
          </cell>
        </row>
        <row r="16">
          <cell r="CB16" t="str">
            <v>01013-Growing of timber, plantation, operation of tree nurseries and conserving of forest</v>
          </cell>
          <cell r="CD16" t="str">
            <v>16007-Fashion designing</v>
          </cell>
        </row>
        <row r="17">
          <cell r="CB17" t="str">
            <v>01014-Gathering of tendu leaves</v>
          </cell>
          <cell r="CD17" t="str">
            <v>16008-Interior decoration</v>
          </cell>
        </row>
        <row r="18">
          <cell r="CB18" t="str">
            <v>01015-Gathering of other wild growing materials</v>
          </cell>
          <cell r="CD18" t="str">
            <v>16009-Photography</v>
          </cell>
        </row>
        <row r="19">
          <cell r="CB19" t="str">
            <v>01016-Forestry service activities, timber cruising, afforestation and reforestation</v>
          </cell>
          <cell r="CD19" t="str">
            <v>16013-Business and management consultancy activities</v>
          </cell>
        </row>
        <row r="20">
          <cell r="CB20" t="str">
            <v>01017-Logging service activities, transport of logs within the forest</v>
          </cell>
          <cell r="CD20" t="str">
            <v>16018-Secretarial activities</v>
          </cell>
        </row>
        <row r="21">
          <cell r="CB21" t="str">
            <v>01018-Other agriculture, animal husbandry or forestry activity n.e.c</v>
          </cell>
          <cell r="CD21" t="str">
            <v>18001-General hospitals</v>
          </cell>
        </row>
        <row r="22">
          <cell r="CB22" t="str">
            <v>02001-Fishing on commercial basis in inland waters</v>
          </cell>
          <cell r="CD22" t="str">
            <v>18002-Speciality and super speciality hospitals</v>
          </cell>
        </row>
        <row r="23">
          <cell r="CB23" t="str">
            <v>02002-Fishing on commercial basis in ocean and coastal areas</v>
          </cell>
          <cell r="CD23" t="str">
            <v>18003-Nursing homes</v>
          </cell>
        </row>
        <row r="24">
          <cell r="CB24" t="str">
            <v>02003-Fish farming</v>
          </cell>
          <cell r="CD24" t="str">
            <v>18004-Diagnostic centres</v>
          </cell>
        </row>
        <row r="25">
          <cell r="CB25" t="str">
            <v>02004-Gathering of marine materials such as natural pearls, sponges, coral etc.</v>
          </cell>
          <cell r="CD25" t="str">
            <v>18005-Pathological laboratories</v>
          </cell>
        </row>
        <row r="26">
          <cell r="CB26" t="str">
            <v>02005-Services related to marine and fresh water fisheries, fish hatcheries and fish farms</v>
          </cell>
          <cell r="CD26" t="str">
            <v>18010-Medical clinics</v>
          </cell>
        </row>
        <row r="27">
          <cell r="CB27" t="str">
            <v>02006-Other Fish farming activity n.e.c</v>
          </cell>
          <cell r="CD27" t="str">
            <v>18011-Dental practice</v>
          </cell>
        </row>
        <row r="28">
          <cell r="CB28" t="str">
            <v>03001-Mining and agglomeration of hard coal</v>
          </cell>
          <cell r="CD28" t="str">
            <v>18012-Ayurveda practice</v>
          </cell>
        </row>
        <row r="29">
          <cell r="CB29" t="str">
            <v>03002-Mining and agglomeration of lignite</v>
          </cell>
          <cell r="CD29" t="str">
            <v>18013-Unani practice</v>
          </cell>
        </row>
        <row r="30">
          <cell r="CB30" t="str">
            <v>03003-Extraction and agglomeration of peat</v>
          </cell>
          <cell r="CD30" t="str">
            <v>18014-Homeopathy practice</v>
          </cell>
        </row>
        <row r="31">
          <cell r="CB31" t="str">
            <v>03004-Extraction of crude petroleum and natural gas</v>
          </cell>
          <cell r="CD31" t="str">
            <v>18015-Nurses, physiotherapists or other para-medical practitioners</v>
          </cell>
        </row>
        <row r="32">
          <cell r="CB32" t="str">
            <v>03005-Service activities incidental to oil and gas extraction excluding surveying</v>
          </cell>
          <cell r="CD32" t="str">
            <v>18016-Veterinary hospitals and practice</v>
          </cell>
        </row>
        <row r="33">
          <cell r="CB33" t="str">
            <v>03006-Mining of uranium and thorium ores</v>
          </cell>
          <cell r="CD33" t="str">
            <v>18017-Medical education</v>
          </cell>
        </row>
        <row r="34">
          <cell r="CB34" t="str">
            <v>03007-Mining of iron ores</v>
          </cell>
          <cell r="CD34" t="str">
            <v>18018-Medical research</v>
          </cell>
        </row>
        <row r="35">
          <cell r="CB35" t="str">
            <v>03008-Mining of non-ferrous metal ores, except uranium and thorium ores</v>
          </cell>
          <cell r="CD35" t="str">
            <v>18019-Practice of other alternative medicine</v>
          </cell>
        </row>
        <row r="36">
          <cell r="CB36" t="str">
            <v>03009-Mining of gemstones</v>
          </cell>
          <cell r="CD36" t="str">
            <v>18020-Other healthcare services</v>
          </cell>
        </row>
        <row r="37">
          <cell r="CB37" t="str">
            <v>03010-Mining of chemical and fertilizer minerals</v>
          </cell>
          <cell r="CD37" t="str">
            <v>20010-Individual artists excluding authors</v>
          </cell>
        </row>
        <row r="38">
          <cell r="CB38" t="str">
            <v>03011-Mining of quarrying of abrasive materials</v>
          </cell>
          <cell r="CD38" t="str">
            <v>20011-Literary activities</v>
          </cell>
        </row>
        <row r="39">
          <cell r="CB39" t="str">
            <v>03012-Mining of mica, graphite and asbestos</v>
          </cell>
          <cell r="CD39" t="str">
            <v>20012-Other cultural activities n.e.c.</v>
          </cell>
        </row>
        <row r="40">
          <cell r="CB40" t="str">
            <v>03013-Quarrying of stones (marble/granite/dolomite), sand and clay</v>
          </cell>
        </row>
        <row r="41">
          <cell r="CB41" t="str">
            <v>03014-Other mining and quarrying</v>
          </cell>
        </row>
        <row r="42">
          <cell r="CB42" t="str">
            <v>03015-Mining and production of salt</v>
          </cell>
        </row>
        <row r="43">
          <cell r="CB43" t="str">
            <v>03016-Other mining and quarrying n.e.c</v>
          </cell>
        </row>
        <row r="44">
          <cell r="CB44" t="str">
            <v>04001-Production, processing and preservation of meat and meat products</v>
          </cell>
        </row>
        <row r="45">
          <cell r="CB45" t="str">
            <v>04002-Production, processing and preservation of fish and fish products</v>
          </cell>
        </row>
        <row r="46">
          <cell r="CB46" t="str">
            <v>04003-Manufacture of vegetable oil, animal oil and fats</v>
          </cell>
        </row>
        <row r="47">
          <cell r="CB47" t="str">
            <v>04004-Processing of fruits, vegetables and edible nuts</v>
          </cell>
        </row>
        <row r="48">
          <cell r="CB48" t="str">
            <v>04005-Manufacture of dairy products</v>
          </cell>
        </row>
        <row r="49">
          <cell r="CB49" t="str">
            <v>04006-Manufacture of sugar</v>
          </cell>
        </row>
        <row r="50">
          <cell r="CB50" t="str">
            <v>04007-Manufacture of cocoa, chocolates and sugar confectionery</v>
          </cell>
        </row>
        <row r="51">
          <cell r="CB51" t="str">
            <v>04008-Flour milling</v>
          </cell>
        </row>
        <row r="52">
          <cell r="CB52" t="str">
            <v>04009-Rice milling</v>
          </cell>
        </row>
        <row r="53">
          <cell r="CB53" t="str">
            <v>04010-Dal milling</v>
          </cell>
        </row>
        <row r="54">
          <cell r="CB54" t="str">
            <v>04011-Manufacture of other grain mill products</v>
          </cell>
        </row>
        <row r="55">
          <cell r="CB55" t="str">
            <v>04012-Manufacture of bakery products</v>
          </cell>
        </row>
        <row r="56">
          <cell r="CB56" t="str">
            <v>04013-Manufacture of starch products</v>
          </cell>
        </row>
        <row r="57">
          <cell r="CB57" t="str">
            <v>04014-Manufacture of animal feeds</v>
          </cell>
        </row>
        <row r="58">
          <cell r="CB58" t="str">
            <v>04015-Manufacture of other food products</v>
          </cell>
        </row>
        <row r="59">
          <cell r="CB59" t="str">
            <v>04016-Manufacturing of wines</v>
          </cell>
        </row>
        <row r="60">
          <cell r="CB60" t="str">
            <v>04017-Manufacture of beer</v>
          </cell>
        </row>
        <row r="61">
          <cell r="CB61" t="str">
            <v>04018-Manufacture of malt liquors</v>
          </cell>
        </row>
        <row r="62">
          <cell r="CB62" t="str">
            <v>04019-Distilling and blending of spirits, production of ethyl alcohol</v>
          </cell>
        </row>
        <row r="63">
          <cell r="CB63" t="str">
            <v>04020-Manufacture of mineral water</v>
          </cell>
        </row>
        <row r="64">
          <cell r="CB64" t="str">
            <v>04021-Manufacture of soft drinks</v>
          </cell>
        </row>
        <row r="65">
          <cell r="CB65" t="str">
            <v>04022-Manufacture of other non-alcoholic beverages</v>
          </cell>
        </row>
        <row r="66">
          <cell r="CB66" t="str">
            <v>04023-Manufacture of tobacco products</v>
          </cell>
        </row>
        <row r="67">
          <cell r="CB67" t="str">
            <v>04024-Manufacture of textiles (other than by handloom)</v>
          </cell>
        </row>
        <row r="68">
          <cell r="CB68" t="str">
            <v>04025-Manufacture of textiles using handlooms (khadi)</v>
          </cell>
        </row>
        <row r="69">
          <cell r="CB69" t="str">
            <v>04026-Manufacture of carpet, rugs, blankets, shawls etc. (other than by hand)</v>
          </cell>
        </row>
        <row r="70">
          <cell r="CB70" t="str">
            <v>04027-Manufacture of carpet, rugs, blankets, shawls etc. by hand</v>
          </cell>
        </row>
        <row r="71">
          <cell r="CB71" t="str">
            <v>04028-Manufacture of wearing apparel</v>
          </cell>
        </row>
        <row r="72">
          <cell r="CB72" t="str">
            <v>04029-Tanning and dressing of leather</v>
          </cell>
        </row>
        <row r="73">
          <cell r="CB73" t="str">
            <v>04030-Manufacture of luggage, handbags and the like saddler and harness</v>
          </cell>
        </row>
        <row r="74">
          <cell r="CB74" t="str">
            <v>04031-Manufacture of footwear</v>
          </cell>
        </row>
        <row r="75">
          <cell r="CB75" t="str">
            <v>04032-Manufacture of wood and wood products, cork, straw and plaiting material</v>
          </cell>
        </row>
        <row r="76">
          <cell r="CB76" t="str">
            <v>04033-Manufacture of paper and paper products</v>
          </cell>
        </row>
        <row r="77">
          <cell r="CB77" t="str">
            <v>04034-Publishing, printing and reproduction of recorded media</v>
          </cell>
        </row>
        <row r="78">
          <cell r="CB78" t="str">
            <v>04035-Manufacture of coke oven products</v>
          </cell>
        </row>
        <row r="79">
          <cell r="CB79" t="str">
            <v>04036-Manufacture of refined petroleum products</v>
          </cell>
        </row>
        <row r="80">
          <cell r="CB80" t="str">
            <v>04037-Processing of nuclear fuel</v>
          </cell>
        </row>
        <row r="81">
          <cell r="CB81" t="str">
            <v>04038-Manufacture of fertilizers and nitrogen compounds</v>
          </cell>
        </row>
        <row r="82">
          <cell r="CB82" t="str">
            <v>04039-Manufacture of plastics in primary forms and of synthetic rubber</v>
          </cell>
        </row>
        <row r="83">
          <cell r="CB83" t="str">
            <v>04040-Manufacture of paints, varnishes and similar coatings</v>
          </cell>
        </row>
        <row r="84">
          <cell r="CB84" t="str">
            <v>04041-Manufacture of pharmaceuticals, medicinal chemicals and botanical products</v>
          </cell>
        </row>
        <row r="85">
          <cell r="CB85" t="str">
            <v>04042-Manufacture of soap and detergents</v>
          </cell>
        </row>
        <row r="86">
          <cell r="CB86" t="str">
            <v>04043-Manufacture of other chemical products</v>
          </cell>
        </row>
        <row r="87">
          <cell r="CB87" t="str">
            <v>04044-Manufacture of man-made fibers</v>
          </cell>
        </row>
        <row r="88">
          <cell r="CB88" t="str">
            <v>04045-Manufacture of rubber products</v>
          </cell>
        </row>
        <row r="89">
          <cell r="CB89" t="str">
            <v>04046-Manufacture of plastic products</v>
          </cell>
        </row>
        <row r="90">
          <cell r="CB90" t="str">
            <v>04047-Manufacture of glass and glass products</v>
          </cell>
        </row>
        <row r="91">
          <cell r="CB91" t="str">
            <v>04048-Manufacture of cement, lime and plaster</v>
          </cell>
        </row>
        <row r="92">
          <cell r="CB92" t="str">
            <v>04049-Manufacture of articles of concrete, cement and plaster</v>
          </cell>
        </row>
        <row r="93">
          <cell r="CB93" t="str">
            <v>04050-Manufacture of Bricks</v>
          </cell>
        </row>
        <row r="94">
          <cell r="CB94" t="str">
            <v>04051-Manufacture of other clay and ceramic products</v>
          </cell>
        </row>
        <row r="95">
          <cell r="CB95" t="str">
            <v>04052-Manufacture of other non-metallic mineral products</v>
          </cell>
        </row>
        <row r="96">
          <cell r="CB96" t="str">
            <v>04053-Manufacture of pig iron, sponge iron, Direct Reduced Iron etc.</v>
          </cell>
        </row>
        <row r="97">
          <cell r="CB97" t="str">
            <v>04054-Manufacture of Ferro alloys</v>
          </cell>
        </row>
        <row r="98">
          <cell r="CB98" t="str">
            <v>04055-Manufacture of Ingots, billets, blooms and slabs etc.</v>
          </cell>
        </row>
        <row r="99">
          <cell r="CB99" t="str">
            <v>04056-Manufacture of steel products</v>
          </cell>
        </row>
        <row r="100">
          <cell r="CB100" t="str">
            <v>04057-Manufacture of basic precious and non-ferrous metals</v>
          </cell>
        </row>
        <row r="101">
          <cell r="CB101" t="str">
            <v>04058-Manufacture of non-metallic mineral products</v>
          </cell>
        </row>
        <row r="102">
          <cell r="CB102" t="str">
            <v>04059-Casting of metals</v>
          </cell>
        </row>
        <row r="103">
          <cell r="CB103" t="str">
            <v>04060-Manufacture of fabricated metal products</v>
          </cell>
        </row>
        <row r="104">
          <cell r="CB104" t="str">
            <v>04061-Manufacture of engines and turbines</v>
          </cell>
        </row>
        <row r="105">
          <cell r="CB105" t="str">
            <v>04062-Manufacture of pumps and compressors</v>
          </cell>
        </row>
        <row r="106">
          <cell r="CB106" t="str">
            <v>04063-Manufacture of bearings and gears</v>
          </cell>
        </row>
        <row r="107">
          <cell r="CB107" t="str">
            <v>04064-Manufacture of ovens and furnaces</v>
          </cell>
        </row>
        <row r="108">
          <cell r="CB108" t="str">
            <v>04065-Manufacture of lifting and handling equipment</v>
          </cell>
        </row>
        <row r="109">
          <cell r="CB109" t="str">
            <v>04066-Manufacture of other general purpose machinery</v>
          </cell>
        </row>
        <row r="110">
          <cell r="CB110" t="str">
            <v>04067-Manufacture of agricultural and forestry machinery</v>
          </cell>
        </row>
        <row r="111">
          <cell r="CB111" t="str">
            <v>04068-Manufacture of Machine Tools</v>
          </cell>
        </row>
        <row r="112">
          <cell r="CB112" t="str">
            <v>04069-Manufacture of machinery for metallurgy</v>
          </cell>
        </row>
        <row r="113">
          <cell r="CB113" t="str">
            <v>04070-Manufacture of machinery for mining, quarrying and constructions</v>
          </cell>
        </row>
        <row r="114">
          <cell r="CB114" t="str">
            <v>04071-Manufacture of machinery for processing of food and beverages</v>
          </cell>
        </row>
        <row r="115">
          <cell r="CB115" t="str">
            <v>04072-Manufacture of machinery for leather and textile</v>
          </cell>
        </row>
        <row r="116">
          <cell r="CB116" t="str">
            <v>04073-Manufacture of weapons and ammunition</v>
          </cell>
        </row>
        <row r="117">
          <cell r="CB117" t="str">
            <v>04074-Manufacture of other special purpose machinery</v>
          </cell>
        </row>
        <row r="118">
          <cell r="CB118" t="str">
            <v>04075-Manufacture of domestic appliances</v>
          </cell>
        </row>
        <row r="119">
          <cell r="CB119" t="str">
            <v>04076-Manufacture of office, accounting and computing machinery</v>
          </cell>
        </row>
        <row r="120">
          <cell r="CB120" t="str">
            <v>04077-Manufacture of electrical machinery and apparatus</v>
          </cell>
        </row>
        <row r="121">
          <cell r="CB121" t="str">
            <v>04078-Manufacture of Radio, Television, communication equipment and apparatus</v>
          </cell>
        </row>
        <row r="122">
          <cell r="CB122" t="str">
            <v>04079-Manufacture of medical and surgical equipment</v>
          </cell>
        </row>
        <row r="123">
          <cell r="CB123" t="str">
            <v>04080-Manufacture of industrial process control equipment</v>
          </cell>
        </row>
        <row r="124">
          <cell r="CB124" t="str">
            <v>04081-Manufacture of instruments and appliances for measurements and navigation</v>
          </cell>
        </row>
        <row r="125">
          <cell r="CB125" t="str">
            <v>04082-Manufacture of optical instruments</v>
          </cell>
        </row>
        <row r="126">
          <cell r="CB126" t="str">
            <v>04083-Manufacture of watches and clocks</v>
          </cell>
        </row>
        <row r="127">
          <cell r="CB127" t="str">
            <v>04084-Manufacture of motor vehicles</v>
          </cell>
        </row>
        <row r="128">
          <cell r="CB128" t="str">
            <v>04085-Manufacture of body of motor vehicles</v>
          </cell>
        </row>
        <row r="129">
          <cell r="CB129" t="str">
            <v>04086-Manufacture of parts &amp; accessories of motor vehicles &amp; engines</v>
          </cell>
        </row>
        <row r="130">
          <cell r="CB130" t="str">
            <v>04087-Building &amp; repair of ships and boats</v>
          </cell>
        </row>
        <row r="131">
          <cell r="CB131" t="str">
            <v>04088-Manufacture of railway locomotive and rolling stocks</v>
          </cell>
        </row>
        <row r="132">
          <cell r="CB132" t="str">
            <v>04089-Manufacture of aircraft and spacecraft</v>
          </cell>
        </row>
        <row r="133">
          <cell r="CB133" t="str">
            <v>04090-Manufacture of bicycles</v>
          </cell>
        </row>
        <row r="134">
          <cell r="CB134" t="str">
            <v>04091-Manufacture of other transport equipment</v>
          </cell>
        </row>
        <row r="135">
          <cell r="CB135" t="str">
            <v>04092-Manufacture of furniture</v>
          </cell>
        </row>
        <row r="136">
          <cell r="CB136" t="str">
            <v>04093-Manufacture of jewellery</v>
          </cell>
        </row>
        <row r="137">
          <cell r="CB137" t="str">
            <v>04094-Manufacture of sports goods</v>
          </cell>
        </row>
        <row r="138">
          <cell r="CB138" t="str">
            <v>04095-Manufacture of musical instruments</v>
          </cell>
        </row>
        <row r="139">
          <cell r="CB139" t="str">
            <v>04096-Manufacture of games and toys</v>
          </cell>
        </row>
        <row r="140">
          <cell r="CB140" t="str">
            <v>04097-Other manufacturing n.e.c.</v>
          </cell>
        </row>
        <row r="141">
          <cell r="CB141" t="str">
            <v>04098-Recycling of metal waste and scrap</v>
          </cell>
        </row>
        <row r="142">
          <cell r="CB142" t="str">
            <v>04099-Recycling of non-metal waste and scrap</v>
          </cell>
        </row>
        <row r="143">
          <cell r="CB143" t="str">
            <v>05001-Production, collection and distribution of electricity</v>
          </cell>
        </row>
        <row r="144">
          <cell r="CB144" t="str">
            <v>05002-Manufacture and distribution of gas</v>
          </cell>
        </row>
        <row r="145">
          <cell r="CB145" t="str">
            <v>05003-Collection, purification and distribution of water</v>
          </cell>
        </row>
        <row r="146">
          <cell r="CB146" t="str">
            <v>05004-Other essential commodity service n.e.c</v>
          </cell>
        </row>
        <row r="147">
          <cell r="CB147" t="str">
            <v>06001-Site preparation works</v>
          </cell>
        </row>
        <row r="148">
          <cell r="CB148" t="str">
            <v>06002-Building of complete constructions or parts- civil contractors</v>
          </cell>
        </row>
        <row r="149">
          <cell r="CB149" t="str">
            <v>06003-Building installation</v>
          </cell>
        </row>
        <row r="150">
          <cell r="CB150" t="str">
            <v>06004-Building completion</v>
          </cell>
        </row>
        <row r="151">
          <cell r="CB151" t="str">
            <v>06005-Construction and maintenance of roads, rails, bridges, tunnels, ports, harbour, runways etc.</v>
          </cell>
        </row>
        <row r="152">
          <cell r="CB152" t="str">
            <v>06006-Construction and maintenance of power plants</v>
          </cell>
        </row>
        <row r="153">
          <cell r="CB153" t="str">
            <v>06007-Construction and maintenance of industrial plants</v>
          </cell>
        </row>
        <row r="154">
          <cell r="CB154" t="str">
            <v>06008-Construction and maintenance of power transmission and telecommunication lines</v>
          </cell>
        </row>
        <row r="155">
          <cell r="CB155" t="str">
            <v>06009-Construction of water ways and water reservoirs</v>
          </cell>
        </row>
        <row r="156">
          <cell r="CB156" t="str">
            <v>06010-Other construction activity n.e.c.</v>
          </cell>
        </row>
        <row r="157">
          <cell r="CB157" t="str">
            <v>07001-Purchase, sale and letting of leased buildings(residential and non-residential)</v>
          </cell>
        </row>
        <row r="158">
          <cell r="CB158" t="str">
            <v>07002-Operating of real estate of self-owned buildings(residential and non-residential)</v>
          </cell>
        </row>
        <row r="159">
          <cell r="CB159" t="str">
            <v>07003-Developing and sub-dividing real estate into lots</v>
          </cell>
        </row>
        <row r="160">
          <cell r="CB160" t="str">
            <v>07004-Real estate activities on a fee or contract basis</v>
          </cell>
        </row>
        <row r="161">
          <cell r="CB161" t="str">
            <v>07005-Other real estate/renting services n.e.c</v>
          </cell>
        </row>
        <row r="162">
          <cell r="CB162" t="str">
            <v>08001-Renting of land transport equipment</v>
          </cell>
        </row>
        <row r="163">
          <cell r="CB163" t="str">
            <v>08002-Renting of water transport equipment</v>
          </cell>
        </row>
        <row r="164">
          <cell r="CB164" t="str">
            <v>08003-Renting of air transport equipment</v>
          </cell>
        </row>
        <row r="165">
          <cell r="CB165" t="str">
            <v>08004-Renting of agricultural machinery and equipment</v>
          </cell>
        </row>
        <row r="166">
          <cell r="CB166" t="str">
            <v>08005-Renting of construction and civil engineering machinery</v>
          </cell>
        </row>
        <row r="167">
          <cell r="CB167" t="str">
            <v>08006-Renting of office machinery and equipment</v>
          </cell>
        </row>
        <row r="168">
          <cell r="CB168" t="str">
            <v>08007-Renting of other machinery and equipment n.e.c.</v>
          </cell>
        </row>
        <row r="169">
          <cell r="CB169" t="str">
            <v>08008-Renting of personal and household goods n.e.c.</v>
          </cell>
        </row>
        <row r="170">
          <cell r="CB170" t="str">
            <v>08009-Renting of other machinery n.e.c.</v>
          </cell>
        </row>
        <row r="171">
          <cell r="CB171" t="str">
            <v>09001-Wholesale and retail sale of motor vehicles</v>
          </cell>
        </row>
        <row r="172">
          <cell r="CB172" t="str">
            <v>09002-Repair and maintenance of motor vehicles</v>
          </cell>
        </row>
        <row r="173">
          <cell r="CB173" t="str">
            <v>09003-Sale of motor parts and accessories- wholesale and retail</v>
          </cell>
        </row>
        <row r="174">
          <cell r="CB174" t="str">
            <v>09004-Retail sale of automotive fuel</v>
          </cell>
        </row>
        <row r="175">
          <cell r="CB175" t="str">
            <v>09006-Wholesale of agricultural raw material</v>
          </cell>
        </row>
        <row r="176">
          <cell r="CB176" t="str">
            <v>09007-Wholesale of food &amp; beverages and tobacco</v>
          </cell>
        </row>
        <row r="177">
          <cell r="CB177" t="str">
            <v>09008-Wholesale of household goods</v>
          </cell>
        </row>
        <row r="178">
          <cell r="CB178" t="str">
            <v>09009-Wholesale of metals and metal ores</v>
          </cell>
        </row>
        <row r="179">
          <cell r="CB179" t="str">
            <v>09010-Wholesale of household goods</v>
          </cell>
        </row>
        <row r="180">
          <cell r="CB180" t="str">
            <v>09011-Wholesale of construction material</v>
          </cell>
        </row>
        <row r="181">
          <cell r="CB181" t="str">
            <v>09012-Wholesale of hardware and sanitary fittings</v>
          </cell>
        </row>
        <row r="182">
          <cell r="CB182" t="str">
            <v>09013-Wholesale of cotton and jute</v>
          </cell>
        </row>
        <row r="183">
          <cell r="CB183" t="str">
            <v>09014-Wholesale of raw wool and raw silk</v>
          </cell>
        </row>
        <row r="184">
          <cell r="CB184" t="str">
            <v>09015-Wholesale of other textile fibres</v>
          </cell>
        </row>
        <row r="185">
          <cell r="CB185" t="str">
            <v>09016-Wholesale of industrial chemicals</v>
          </cell>
        </row>
        <row r="186">
          <cell r="CB186" t="str">
            <v>09017-Wholesale of fertilizers and pesticides</v>
          </cell>
        </row>
        <row r="187">
          <cell r="CB187" t="str">
            <v>09018-Wholesale of electronic parts &amp; equipment</v>
          </cell>
        </row>
        <row r="188">
          <cell r="CB188" t="str">
            <v>09019-Wholesale of other machinery, equipment and supplies</v>
          </cell>
        </row>
        <row r="189">
          <cell r="CB189" t="str">
            <v>09020-Wholesale of waste, scrap &amp; materials for re-cycling</v>
          </cell>
        </row>
        <row r="190">
          <cell r="CB190" t="str">
            <v>09021-Retail sale of food, beverages and tobacco in specialized stores</v>
          </cell>
        </row>
        <row r="191">
          <cell r="CB191" t="str">
            <v>09022-Retail sale of other goods in specialized stores</v>
          </cell>
        </row>
        <row r="192">
          <cell r="CB192" t="str">
            <v>09023-Retail sale in non-specialized stores</v>
          </cell>
        </row>
        <row r="193">
          <cell r="CB193" t="str">
            <v>09024-Retail sale of textiles, apparel, footwear, leather goods</v>
          </cell>
        </row>
        <row r="194">
          <cell r="CB194" t="str">
            <v>09025-Retail sale of other household appliances</v>
          </cell>
        </row>
        <row r="195">
          <cell r="CB195" t="str">
            <v>09026-Retail sale of hardware, paint and glass</v>
          </cell>
        </row>
        <row r="196">
          <cell r="CB196" t="str">
            <v>09027-Wholesale of other products n.e.c</v>
          </cell>
        </row>
        <row r="197">
          <cell r="CB197" t="str">
            <v>09028-Retail sale of other products n.e.c</v>
          </cell>
        </row>
        <row r="198">
          <cell r="CB198" t="str">
            <v>10001-Hotels-Star rated</v>
          </cell>
        </row>
        <row r="199">
          <cell r="CB199" t="str">
            <v>10002-Hotels-Non-star rated</v>
          </cell>
        </row>
        <row r="200">
          <cell r="CB200" t="str">
            <v>10003-Motels, Inns and Dharmshalas</v>
          </cell>
        </row>
        <row r="201">
          <cell r="CB201" t="str">
            <v>10004-Guest houses and circuit houses</v>
          </cell>
        </row>
        <row r="202">
          <cell r="CB202" t="str">
            <v>10005-Dormitories and hostels at educational institutions</v>
          </cell>
        </row>
        <row r="203">
          <cell r="CB203" t="str">
            <v>10006-Short stay accommodations n.e.c.</v>
          </cell>
        </row>
        <row r="204">
          <cell r="CB204" t="str">
            <v>10007-Restaurants-with bars</v>
          </cell>
        </row>
        <row r="205">
          <cell r="CB205" t="str">
            <v>10008-Restaurants-without bars</v>
          </cell>
        </row>
        <row r="206">
          <cell r="CB206" t="str">
            <v>10009-Canteens</v>
          </cell>
        </row>
        <row r="207">
          <cell r="CB207" t="str">
            <v>10010-Independent caterers</v>
          </cell>
        </row>
        <row r="208">
          <cell r="CB208" t="str">
            <v>10011-Casinos and other games of chance</v>
          </cell>
        </row>
        <row r="209">
          <cell r="CB209" t="str">
            <v>10012-Other hospitality services n.e.c.</v>
          </cell>
        </row>
        <row r="210">
          <cell r="CB210" t="str">
            <v>11001-Travel agencies and tour operators</v>
          </cell>
        </row>
        <row r="211">
          <cell r="CB211" t="str">
            <v>11002-Packers and movers</v>
          </cell>
        </row>
        <row r="212">
          <cell r="CB212" t="str">
            <v>11003-Passenger land transport</v>
          </cell>
        </row>
        <row r="213">
          <cell r="CB213" t="str">
            <v>11004-Air transport</v>
          </cell>
        </row>
        <row r="214">
          <cell r="CB214" t="str">
            <v>11005-Transport by urban/sub-urban railways</v>
          </cell>
        </row>
        <row r="215">
          <cell r="CB215" t="str">
            <v>11006-Inland water transport</v>
          </cell>
        </row>
        <row r="216">
          <cell r="CB216" t="str">
            <v>11007-Sea and coastal water transport</v>
          </cell>
        </row>
        <row r="217">
          <cell r="CB217" t="str">
            <v>11008-Freight transport by road</v>
          </cell>
        </row>
        <row r="218">
          <cell r="CB218" t="str">
            <v>11009-Freight transport by railways</v>
          </cell>
        </row>
        <row r="219">
          <cell r="CB219" t="str">
            <v>11010-Forwarding of freight</v>
          </cell>
        </row>
        <row r="220">
          <cell r="CB220" t="str">
            <v>11011-Receiving and acceptance of freight</v>
          </cell>
        </row>
        <row r="221">
          <cell r="CB221" t="str">
            <v>11012-Cargo handling</v>
          </cell>
        </row>
        <row r="222">
          <cell r="CB222" t="str">
            <v>11013-Storage and warehousing</v>
          </cell>
        </row>
        <row r="223">
          <cell r="CB223" t="str">
            <v>11014-Transport via pipelines (transport of gases, liquids, slurry and other commodities)</v>
          </cell>
        </row>
        <row r="224">
          <cell r="CB224" t="str">
            <v>11015-Other Transport &amp; Logistics services n.e.c</v>
          </cell>
        </row>
        <row r="225">
          <cell r="CB225" t="str">
            <v>12001-Post and courier activities</v>
          </cell>
        </row>
        <row r="226">
          <cell r="CB226" t="str">
            <v>12002-Basic telecom services</v>
          </cell>
        </row>
        <row r="227">
          <cell r="CB227" t="str">
            <v>12003-Value added telecom services</v>
          </cell>
        </row>
        <row r="228">
          <cell r="CB228" t="str">
            <v>12004-Maintenance of telecom network</v>
          </cell>
        </row>
        <row r="229">
          <cell r="CB229" t="str">
            <v>12005-Activities of the cable operators</v>
          </cell>
        </row>
        <row r="230">
          <cell r="CB230" t="str">
            <v>12006-Other Post &amp; Telecommunication services n.e.c</v>
          </cell>
        </row>
        <row r="231">
          <cell r="CB231" t="str">
            <v>13001-Commercial banks, saving banks and discount houses</v>
          </cell>
        </row>
        <row r="232">
          <cell r="CB232" t="str">
            <v>13002-Specialised institutions granting credit</v>
          </cell>
        </row>
        <row r="233">
          <cell r="CB233" t="str">
            <v>13003-Financial leasing</v>
          </cell>
        </row>
        <row r="234">
          <cell r="CB234" t="str">
            <v>13004-Hire-purchase financing</v>
          </cell>
        </row>
        <row r="235">
          <cell r="CB235" t="str">
            <v>13005-Housing finance activities</v>
          </cell>
        </row>
        <row r="236">
          <cell r="CB236" t="str">
            <v>13006-Commercial loan activities</v>
          </cell>
        </row>
        <row r="237">
          <cell r="CB237" t="str">
            <v>13007-Credit cards</v>
          </cell>
        </row>
        <row r="238">
          <cell r="CB238" t="str">
            <v>13008-Mutual funds</v>
          </cell>
        </row>
        <row r="239">
          <cell r="CB239" t="str">
            <v>13009-Chit fund</v>
          </cell>
        </row>
        <row r="240">
          <cell r="CB240" t="str">
            <v>13010-Investment activities</v>
          </cell>
        </row>
        <row r="241">
          <cell r="CB241" t="str">
            <v>13011-Life insurance</v>
          </cell>
        </row>
        <row r="242">
          <cell r="CB242" t="str">
            <v>13012-Pension funding</v>
          </cell>
        </row>
        <row r="243">
          <cell r="CB243" t="str">
            <v>13013-Non-life insurance</v>
          </cell>
        </row>
        <row r="244">
          <cell r="CB244" t="str">
            <v>13014-Administration of financial markets</v>
          </cell>
        </row>
        <row r="245">
          <cell r="CB245" t="str">
            <v>13015-Stock brokers, sub-brokers and related activities</v>
          </cell>
        </row>
        <row r="246">
          <cell r="CB246" t="str">
            <v>13016-Financial advisers, mortgage advisers and brokers</v>
          </cell>
        </row>
        <row r="247">
          <cell r="CB247" t="str">
            <v>13017-Foreign exchange services</v>
          </cell>
        </row>
        <row r="248">
          <cell r="CB248" t="str">
            <v>13018-Other financial intermediation services n.e.c.</v>
          </cell>
        </row>
        <row r="249">
          <cell r="CB249" t="str">
            <v>14007-Cyber café</v>
          </cell>
        </row>
        <row r="250">
          <cell r="CB250" t="str">
            <v>14009-Computer training and educational institutes</v>
          </cell>
        </row>
        <row r="251">
          <cell r="CB251" t="str">
            <v>14010-Other computation related services n.e.c.</v>
          </cell>
        </row>
        <row r="252">
          <cell r="CB252" t="str">
            <v>15001-Natural sciences and engineering</v>
          </cell>
        </row>
        <row r="253">
          <cell r="CB253" t="str">
            <v>15002-Social sciences and humanities</v>
          </cell>
        </row>
        <row r="254">
          <cell r="CB254" t="str">
            <v>15003-Other Research &amp; Development activities n.e.c.</v>
          </cell>
        </row>
        <row r="255">
          <cell r="CB255" t="str">
            <v>16006-Advertising</v>
          </cell>
        </row>
        <row r="256">
          <cell r="CB256" t="str">
            <v>16010-Auctioneers</v>
          </cell>
        </row>
        <row r="257">
          <cell r="CB257" t="str">
            <v>16012-Market research and public opinion polling</v>
          </cell>
        </row>
        <row r="258">
          <cell r="CB258" t="str">
            <v>16014-Labour recruitment and provision of personnel</v>
          </cell>
        </row>
        <row r="259">
          <cell r="CB259" t="str">
            <v>16015-Investigation and security services</v>
          </cell>
        </row>
        <row r="260">
          <cell r="CB260" t="str">
            <v>16016-Building-cleaning and industrial cleaning activities</v>
          </cell>
        </row>
        <row r="261">
          <cell r="CB261" t="str">
            <v>16017-Packaging activities</v>
          </cell>
        </row>
        <row r="262">
          <cell r="CB262" t="str">
            <v>16019-Other professional services n.e.c.</v>
          </cell>
        </row>
        <row r="263">
          <cell r="CB263" t="str">
            <v>17001-Primary education</v>
          </cell>
        </row>
        <row r="264">
          <cell r="CB264" t="str">
            <v>17002-Secondary/ senior secondary education</v>
          </cell>
        </row>
        <row r="265">
          <cell r="CB265" t="str">
            <v>17003-Technical and vocational secondary/ senior secondary education</v>
          </cell>
        </row>
        <row r="266">
          <cell r="CB266" t="str">
            <v>17004-Higher education</v>
          </cell>
        </row>
        <row r="267">
          <cell r="CB267" t="str">
            <v>17005-Education by correspondence</v>
          </cell>
        </row>
        <row r="268">
          <cell r="CB268" t="str">
            <v>17006-Coaching centres and tuitions</v>
          </cell>
        </row>
        <row r="269">
          <cell r="CB269" t="str">
            <v>17007-Other education services n.e.c.</v>
          </cell>
        </row>
        <row r="270">
          <cell r="CB270" t="str">
            <v>18006-Independent blood banks</v>
          </cell>
        </row>
        <row r="271">
          <cell r="CB271" t="str">
            <v>18007-Medical transcription</v>
          </cell>
        </row>
        <row r="272">
          <cell r="CB272" t="str">
            <v>18008-Independent ambulance services</v>
          </cell>
        </row>
        <row r="273">
          <cell r="CB273" t="str">
            <v>18009-Medical suppliers, agencies and stores</v>
          </cell>
        </row>
        <row r="274">
          <cell r="CB274" t="str">
            <v>19001-Social work activities with accommodation (orphanages and old age homes)</v>
          </cell>
        </row>
        <row r="275">
          <cell r="CB275" t="str">
            <v>19002-Social work activities without accommodation (Creches)</v>
          </cell>
        </row>
        <row r="276">
          <cell r="CB276" t="str">
            <v>19003-Industry associations, chambers of commerce</v>
          </cell>
        </row>
        <row r="277">
          <cell r="CB277" t="str">
            <v>19004-Professional organisations</v>
          </cell>
        </row>
        <row r="278">
          <cell r="CB278" t="str">
            <v>19005-Trade unions</v>
          </cell>
        </row>
        <row r="279">
          <cell r="CB279" t="str">
            <v>19006-Religious organizations</v>
          </cell>
        </row>
        <row r="280">
          <cell r="CB280" t="str">
            <v>19007-Political organisations</v>
          </cell>
        </row>
        <row r="281">
          <cell r="CB281" t="str">
            <v>19008-Other membership organisations n.e.c. (rotary clubs, book clubs and philatelic clubs)</v>
          </cell>
        </row>
        <row r="282">
          <cell r="CB282" t="str">
            <v>19009-Other Social or community service n.e.c</v>
          </cell>
        </row>
        <row r="283">
          <cell r="CB283" t="str">
            <v>20001-Motion picture production</v>
          </cell>
        </row>
        <row r="284">
          <cell r="CB284" t="str">
            <v>20002-Film distribution</v>
          </cell>
        </row>
        <row r="285">
          <cell r="CB285" t="str">
            <v>20003-Film laboratories</v>
          </cell>
        </row>
        <row r="286">
          <cell r="CB286" t="str">
            <v>20004-Television channel productions</v>
          </cell>
        </row>
        <row r="287">
          <cell r="CB287" t="str">
            <v>20005-Television channels broadcast</v>
          </cell>
        </row>
        <row r="288">
          <cell r="CB288" t="str">
            <v>20006-Video production and distribution</v>
          </cell>
        </row>
        <row r="289">
          <cell r="CB289" t="str">
            <v>20007-Sound recording studios</v>
          </cell>
        </row>
        <row r="290">
          <cell r="CB290" t="str">
            <v>20008-Radio - recording and distribution</v>
          </cell>
        </row>
        <row r="291">
          <cell r="CB291" t="str">
            <v>20009-Stage production and related activities</v>
          </cell>
        </row>
        <row r="292">
          <cell r="CB292" t="str">
            <v>20013-Circuses and race tracks</v>
          </cell>
        </row>
        <row r="293">
          <cell r="CB293" t="str">
            <v>20014-Video Parlours</v>
          </cell>
        </row>
        <row r="294">
          <cell r="CB294" t="str">
            <v>20015-News agency activities</v>
          </cell>
        </row>
        <row r="295">
          <cell r="CB295" t="str">
            <v>20016-Library and archives activities</v>
          </cell>
        </row>
        <row r="296">
          <cell r="CB296" t="str">
            <v>20017-Museum activities</v>
          </cell>
        </row>
        <row r="297">
          <cell r="CB297" t="str">
            <v>20018-Preservation of historical sites and buildings</v>
          </cell>
        </row>
        <row r="298">
          <cell r="CB298" t="str">
            <v>20019-Botanical and zoological gardens</v>
          </cell>
        </row>
        <row r="299">
          <cell r="CB299" t="str">
            <v>20020-Operation and maintenance of sports facilities</v>
          </cell>
        </row>
        <row r="300">
          <cell r="CB300" t="str">
            <v>20021-Activities of sports and game schools</v>
          </cell>
        </row>
        <row r="301">
          <cell r="CB301" t="str">
            <v>20022-Organisation and operation of indoor/outdoor sports and promotion and production of sporting events</v>
          </cell>
        </row>
        <row r="302">
          <cell r="CB302" t="str">
            <v>20023-Other sporting activities n.e.c.</v>
          </cell>
        </row>
        <row r="303">
          <cell r="CB303" t="str">
            <v>20024-Other recreational activities n.e.c.</v>
          </cell>
        </row>
        <row r="304">
          <cell r="CB304" t="str">
            <v>21001-Hair dressing and other beauty treatment</v>
          </cell>
        </row>
        <row r="305">
          <cell r="CB305" t="str">
            <v>21002-Funeral and related activities</v>
          </cell>
        </row>
        <row r="306">
          <cell r="CB306" t="str">
            <v>21003-Marriage bureaus</v>
          </cell>
        </row>
        <row r="307">
          <cell r="CB307" t="str">
            <v>21004-Pet care services</v>
          </cell>
        </row>
        <row r="308">
          <cell r="CB308" t="str">
            <v>21005-Sauna and steam baths, massage salons etc.</v>
          </cell>
        </row>
        <row r="309">
          <cell r="CB309" t="str">
            <v>21006-Astrological and spiritualists activities</v>
          </cell>
        </row>
        <row r="310">
          <cell r="CB310" t="str">
            <v>21007-Private households as employers of domestic staff</v>
          </cell>
        </row>
        <row r="311">
          <cell r="CB311" t="str">
            <v>21008-Other services n.e.c.</v>
          </cell>
        </row>
        <row r="312">
          <cell r="CB312" t="str">
            <v>22001-Extra territorial organisations and bodies (IMF, World Bank, European Commission etc.)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49"/>
  <sheetViews>
    <sheetView topLeftCell="A112" zoomScale="150" zoomScaleNormal="150" workbookViewId="0">
      <selection activeCell="B96" sqref="B96:F96"/>
    </sheetView>
  </sheetViews>
  <sheetFormatPr defaultColWidth="15.6640625" defaultRowHeight="20.100000000000001" customHeight="1" x14ac:dyDescent="0.25"/>
  <cols>
    <col min="1" max="1" width="1.6640625" style="7" customWidth="1"/>
    <col min="2" max="2" width="16.88671875" style="148" customWidth="1"/>
    <col min="3" max="3" width="17.33203125" style="148" customWidth="1"/>
    <col min="4" max="4" width="20.33203125" style="148" customWidth="1"/>
    <col min="5" max="5" width="17.109375" style="148" customWidth="1"/>
    <col min="6" max="6" width="18.44140625" style="148" customWidth="1"/>
    <col min="7" max="7" width="17" style="148" customWidth="1"/>
    <col min="8" max="8" width="11.5546875" style="148" customWidth="1"/>
    <col min="9" max="16384" width="15.6640625" style="7"/>
  </cols>
  <sheetData>
    <row r="1" spans="1:8" ht="20.100000000000001" customHeight="1" x14ac:dyDescent="0.45">
      <c r="A1" s="308" t="s">
        <v>246</v>
      </c>
      <c r="B1" s="309"/>
      <c r="C1" s="309"/>
      <c r="D1" s="309"/>
      <c r="E1" s="309"/>
      <c r="F1" s="309"/>
      <c r="G1" s="309"/>
    </row>
    <row r="2" spans="1:8" ht="20.100000000000001" customHeight="1" x14ac:dyDescent="0.45">
      <c r="A2" s="308" t="s">
        <v>247</v>
      </c>
      <c r="B2" s="309"/>
      <c r="C2" s="309"/>
      <c r="D2" s="309"/>
      <c r="E2" s="309"/>
      <c r="F2" s="309"/>
      <c r="G2" s="309"/>
    </row>
    <row r="3" spans="1:8" ht="18" customHeight="1" x14ac:dyDescent="0.25">
      <c r="A3" s="310" t="s">
        <v>248</v>
      </c>
      <c r="B3" s="311"/>
      <c r="C3" s="311"/>
      <c r="D3" s="311"/>
      <c r="E3" s="311"/>
      <c r="F3" s="311"/>
      <c r="G3" s="311"/>
    </row>
    <row r="4" spans="1:8" ht="20.100000000000001" customHeight="1" x14ac:dyDescent="0.25">
      <c r="B4" s="314" t="s">
        <v>242</v>
      </c>
      <c r="C4" s="314"/>
      <c r="D4" s="314"/>
      <c r="E4" s="314"/>
      <c r="F4" s="314"/>
      <c r="G4" s="314"/>
      <c r="H4" s="6"/>
    </row>
    <row r="5" spans="1:8" s="4" customFormat="1" ht="18.899999999999999" customHeight="1" x14ac:dyDescent="0.25">
      <c r="B5" s="8" t="s">
        <v>44</v>
      </c>
      <c r="C5" s="9"/>
      <c r="D5" s="10"/>
      <c r="E5" s="8" t="s">
        <v>160</v>
      </c>
      <c r="F5" s="11"/>
      <c r="G5" s="12"/>
      <c r="H5" s="13"/>
    </row>
    <row r="6" spans="1:8" s="4" customFormat="1" ht="18.899999999999999" customHeight="1" x14ac:dyDescent="0.25">
      <c r="B6" s="15" t="s">
        <v>49</v>
      </c>
      <c r="C6" s="16"/>
      <c r="D6" s="17"/>
      <c r="E6" s="18">
        <v>43830</v>
      </c>
      <c r="F6" s="19"/>
      <c r="G6" s="20"/>
      <c r="H6" s="19"/>
    </row>
    <row r="7" spans="1:8" s="4" customFormat="1" ht="18.899999999999999" customHeight="1" x14ac:dyDescent="0.25">
      <c r="B7" s="22" t="s">
        <v>7</v>
      </c>
      <c r="C7" s="16"/>
      <c r="D7" s="17"/>
      <c r="E7" s="23" t="s">
        <v>157</v>
      </c>
      <c r="F7" s="23"/>
      <c r="G7" s="24"/>
      <c r="H7" s="13"/>
    </row>
    <row r="8" spans="1:8" s="4" customFormat="1" ht="18.899999999999999" customHeight="1" x14ac:dyDescent="0.25">
      <c r="B8" s="23" t="s">
        <v>6</v>
      </c>
      <c r="C8" s="16"/>
      <c r="D8" s="17"/>
      <c r="E8" s="23" t="s">
        <v>156</v>
      </c>
      <c r="F8" s="13"/>
      <c r="G8" s="25"/>
      <c r="H8" s="13"/>
    </row>
    <row r="9" spans="1:8" s="4" customFormat="1" ht="18.899999999999999" customHeight="1" x14ac:dyDescent="0.25">
      <c r="B9" s="23" t="s">
        <v>52</v>
      </c>
      <c r="C9" s="16"/>
      <c r="D9" s="17"/>
      <c r="E9" s="23">
        <v>9811116835</v>
      </c>
      <c r="F9" s="13"/>
      <c r="G9" s="25"/>
      <c r="H9" s="13"/>
    </row>
    <row r="10" spans="1:8" s="4" customFormat="1" ht="18.899999999999999" customHeight="1" x14ac:dyDescent="0.25">
      <c r="B10" s="23" t="s">
        <v>53</v>
      </c>
      <c r="C10" s="16"/>
      <c r="D10" s="17"/>
      <c r="E10" s="23" t="s">
        <v>0</v>
      </c>
      <c r="F10" s="13"/>
      <c r="G10" s="25"/>
      <c r="H10" s="13"/>
    </row>
    <row r="11" spans="1:8" s="4" customFormat="1" ht="18.899999999999999" customHeight="1" x14ac:dyDescent="0.25">
      <c r="B11" s="23" t="s">
        <v>54</v>
      </c>
      <c r="C11" s="16"/>
      <c r="D11" s="17"/>
      <c r="E11" s="23" t="s">
        <v>176</v>
      </c>
      <c r="F11" s="28"/>
      <c r="G11" s="29"/>
      <c r="H11" s="28"/>
    </row>
    <row r="12" spans="1:8" s="4" customFormat="1" ht="18.899999999999999" customHeight="1" x14ac:dyDescent="0.25">
      <c r="B12" s="23" t="s">
        <v>8</v>
      </c>
      <c r="C12" s="16"/>
      <c r="D12" s="17"/>
      <c r="E12" s="23" t="s">
        <v>216</v>
      </c>
      <c r="F12" s="13"/>
      <c r="G12" s="25"/>
      <c r="H12" s="13"/>
    </row>
    <row r="13" spans="1:8" s="4" customFormat="1" ht="18.899999999999999" customHeight="1" x14ac:dyDescent="0.25">
      <c r="B13" s="23" t="s">
        <v>55</v>
      </c>
      <c r="C13" s="16"/>
      <c r="D13" s="17"/>
      <c r="E13" s="23" t="s">
        <v>56</v>
      </c>
      <c r="F13" s="13"/>
      <c r="G13" s="25"/>
      <c r="H13" s="13"/>
    </row>
    <row r="14" spans="1:8" s="4" customFormat="1" ht="18.899999999999999" customHeight="1" x14ac:dyDescent="0.25">
      <c r="B14" s="23" t="s">
        <v>229</v>
      </c>
      <c r="C14" s="16"/>
      <c r="D14" s="17"/>
      <c r="E14" s="23" t="s">
        <v>58</v>
      </c>
      <c r="F14" s="13"/>
      <c r="G14" s="25"/>
      <c r="H14" s="13"/>
    </row>
    <row r="15" spans="1:8" s="4" customFormat="1" ht="33.75" customHeight="1" x14ac:dyDescent="0.25">
      <c r="B15" s="22" t="s">
        <v>230</v>
      </c>
      <c r="C15" s="16"/>
      <c r="D15" s="17"/>
      <c r="E15" s="292" t="s">
        <v>221</v>
      </c>
      <c r="F15" s="291"/>
      <c r="G15" s="297"/>
      <c r="H15" s="31"/>
    </row>
    <row r="16" spans="1:8" s="4" customFormat="1" ht="18.899999999999999" customHeight="1" x14ac:dyDescent="0.25">
      <c r="B16" s="32"/>
      <c r="C16" s="33"/>
      <c r="D16" s="34"/>
      <c r="E16" s="32"/>
      <c r="F16" s="35"/>
      <c r="G16" s="36"/>
      <c r="H16" s="13"/>
    </row>
    <row r="17" spans="2:12" s="4" customFormat="1" ht="20.100000000000001" customHeight="1" x14ac:dyDescent="0.25">
      <c r="B17" s="37" t="s">
        <v>59</v>
      </c>
      <c r="C17" s="38"/>
      <c r="D17" s="38"/>
      <c r="E17" s="38"/>
      <c r="F17" s="38"/>
      <c r="G17" s="38"/>
      <c r="H17" s="38"/>
    </row>
    <row r="18" spans="2:12" s="4" customFormat="1" ht="27" customHeight="1" x14ac:dyDescent="0.25">
      <c r="B18" s="39" t="s">
        <v>60</v>
      </c>
      <c r="C18" s="40"/>
      <c r="D18" s="41"/>
      <c r="E18" s="135" t="s">
        <v>169</v>
      </c>
      <c r="F18" s="135" t="s">
        <v>170</v>
      </c>
      <c r="G18" s="152" t="s">
        <v>222</v>
      </c>
      <c r="H18" s="155"/>
      <c r="I18" s="16"/>
      <c r="J18" s="16"/>
      <c r="K18" s="43"/>
      <c r="L18" s="43"/>
    </row>
    <row r="19" spans="2:12" s="4" customFormat="1" ht="20.100000000000001" customHeight="1" x14ac:dyDescent="0.25">
      <c r="B19" s="39" t="s">
        <v>4</v>
      </c>
      <c r="C19" s="40"/>
      <c r="D19" s="41"/>
      <c r="E19" s="44">
        <v>43830</v>
      </c>
      <c r="F19" s="44">
        <f>+E19</f>
        <v>43830</v>
      </c>
      <c r="G19" s="44">
        <f>+E19</f>
        <v>43830</v>
      </c>
      <c r="H19" s="45"/>
    </row>
    <row r="20" spans="2:12" s="4" customFormat="1" ht="20.100000000000001" customHeight="1" x14ac:dyDescent="0.25">
      <c r="B20" s="39" t="s">
        <v>5</v>
      </c>
      <c r="C20" s="40"/>
      <c r="D20" s="41"/>
      <c r="E20" s="46">
        <v>0.5</v>
      </c>
      <c r="F20" s="46">
        <v>0.3</v>
      </c>
      <c r="G20" s="46">
        <v>0.2</v>
      </c>
      <c r="H20" s="47"/>
    </row>
    <row r="21" spans="2:12" s="4" customFormat="1" ht="40.5" customHeight="1" x14ac:dyDescent="0.25">
      <c r="B21" s="48" t="s">
        <v>62</v>
      </c>
      <c r="C21" s="40"/>
      <c r="D21" s="41"/>
      <c r="E21" s="49" t="s">
        <v>50</v>
      </c>
      <c r="F21" s="49" t="s">
        <v>63</v>
      </c>
      <c r="G21" s="49" t="s">
        <v>64</v>
      </c>
      <c r="H21" s="50"/>
    </row>
    <row r="22" spans="2:12" s="4" customFormat="1" ht="18.75" customHeight="1" x14ac:dyDescent="0.25">
      <c r="B22" s="39" t="s">
        <v>209</v>
      </c>
      <c r="C22" s="40"/>
      <c r="D22" s="41"/>
      <c r="E22" s="44">
        <v>28819</v>
      </c>
      <c r="F22" s="44">
        <v>32015</v>
      </c>
      <c r="G22" s="44">
        <v>32043</v>
      </c>
      <c r="H22" s="50"/>
    </row>
    <row r="23" spans="2:12" s="4" customFormat="1" ht="20.100000000000001" customHeight="1" x14ac:dyDescent="0.25">
      <c r="B23" s="156" t="s">
        <v>177</v>
      </c>
      <c r="C23" s="157"/>
      <c r="D23" s="41"/>
      <c r="E23" s="42" t="s">
        <v>171</v>
      </c>
      <c r="F23" s="42" t="s">
        <v>172</v>
      </c>
      <c r="G23" s="42" t="s">
        <v>173</v>
      </c>
      <c r="H23" s="43"/>
    </row>
    <row r="24" spans="2:12" s="4" customFormat="1" ht="20.100000000000001" customHeight="1" x14ac:dyDescent="0.25">
      <c r="B24" s="23" t="s">
        <v>66</v>
      </c>
      <c r="C24" s="16"/>
      <c r="D24" s="16"/>
      <c r="E24" s="51" t="str">
        <f>+E18</f>
        <v>Rakhi Sawant</v>
      </c>
      <c r="F24" s="16"/>
      <c r="G24" s="17"/>
      <c r="H24" s="16"/>
    </row>
    <row r="25" spans="2:12" s="4" customFormat="1" ht="20.100000000000001" customHeight="1" x14ac:dyDescent="0.25">
      <c r="B25" s="32" t="s">
        <v>67</v>
      </c>
      <c r="C25" s="33"/>
      <c r="D25" s="33"/>
      <c r="E25" s="33" t="s">
        <v>174</v>
      </c>
      <c r="F25" s="33"/>
      <c r="G25" s="34"/>
      <c r="H25" s="16"/>
    </row>
    <row r="26" spans="2:12" s="4" customFormat="1" ht="20.100000000000001" customHeight="1" x14ac:dyDescent="0.25">
      <c r="B26" s="54" t="s">
        <v>69</v>
      </c>
      <c r="C26" s="38"/>
      <c r="D26" s="38"/>
      <c r="E26" s="55"/>
      <c r="F26" s="55" t="s">
        <v>70</v>
      </c>
      <c r="G26" s="38"/>
      <c r="H26" s="38"/>
    </row>
    <row r="27" spans="2:12" s="4" customFormat="1" ht="20.100000000000001" customHeight="1" x14ac:dyDescent="0.25">
      <c r="B27" s="56" t="s">
        <v>72</v>
      </c>
      <c r="C27" s="57"/>
      <c r="D27" s="315" t="s">
        <v>73</v>
      </c>
      <c r="E27" s="315"/>
      <c r="F27" s="315" t="s">
        <v>74</v>
      </c>
      <c r="G27" s="315"/>
      <c r="H27" s="58"/>
    </row>
    <row r="28" spans="2:12" s="4" customFormat="1" ht="20.100000000000001" customHeight="1" x14ac:dyDescent="0.25">
      <c r="B28" s="312" t="s">
        <v>75</v>
      </c>
      <c r="C28" s="313"/>
      <c r="D28" s="316">
        <v>327100004521</v>
      </c>
      <c r="E28" s="316"/>
      <c r="F28" s="298">
        <v>12345678987</v>
      </c>
      <c r="G28" s="298"/>
      <c r="H28" s="43"/>
    </row>
    <row r="29" spans="2:12" s="4" customFormat="1" ht="20.100000000000001" customHeight="1" x14ac:dyDescent="0.25">
      <c r="B29" s="312" t="s">
        <v>76</v>
      </c>
      <c r="C29" s="313"/>
      <c r="D29" s="298" t="s">
        <v>77</v>
      </c>
      <c r="E29" s="298"/>
      <c r="F29" s="298" t="s">
        <v>158</v>
      </c>
      <c r="G29" s="298"/>
      <c r="H29" s="43"/>
    </row>
    <row r="30" spans="2:12" s="4" customFormat="1" ht="20.100000000000001" customHeight="1" x14ac:dyDescent="0.25">
      <c r="B30" s="312" t="s">
        <v>79</v>
      </c>
      <c r="C30" s="313"/>
      <c r="D30" s="298" t="s">
        <v>3</v>
      </c>
      <c r="E30" s="298"/>
      <c r="F30" s="298" t="s">
        <v>3</v>
      </c>
      <c r="G30" s="298"/>
      <c r="H30" s="43"/>
    </row>
    <row r="31" spans="2:12" s="4" customFormat="1" ht="20.100000000000001" customHeight="1" x14ac:dyDescent="0.25">
      <c r="B31" s="61" t="s">
        <v>81</v>
      </c>
      <c r="C31" s="61"/>
      <c r="D31" s="298"/>
      <c r="E31" s="298"/>
      <c r="F31" s="290" t="s">
        <v>82</v>
      </c>
      <c r="G31" s="290"/>
      <c r="H31" s="62"/>
    </row>
    <row r="32" spans="2:12" s="4" customFormat="1" ht="20.100000000000001" customHeight="1" x14ac:dyDescent="0.25">
      <c r="B32" s="54" t="s">
        <v>84</v>
      </c>
      <c r="C32" s="38"/>
      <c r="D32" s="38"/>
      <c r="E32" s="38"/>
      <c r="F32" s="63">
        <v>44630</v>
      </c>
      <c r="G32" s="38"/>
      <c r="H32" s="38"/>
    </row>
    <row r="33" spans="2:8" s="4" customFormat="1" ht="20.100000000000001" customHeight="1" x14ac:dyDescent="0.25">
      <c r="B33" s="54" t="s">
        <v>85</v>
      </c>
      <c r="C33" s="38"/>
      <c r="D33" s="38"/>
      <c r="E33" s="38"/>
      <c r="F33" s="55" t="s">
        <v>159</v>
      </c>
      <c r="G33" s="38"/>
      <c r="H33" s="38"/>
    </row>
    <row r="34" spans="2:8" s="4" customFormat="1" ht="20.100000000000001" customHeight="1" x14ac:dyDescent="0.25">
      <c r="B34" s="66" t="s">
        <v>87</v>
      </c>
      <c r="C34" s="38"/>
      <c r="D34" s="38"/>
      <c r="E34" s="67"/>
      <c r="F34" s="38"/>
      <c r="G34" s="38"/>
      <c r="H34" s="38"/>
    </row>
    <row r="35" spans="2:8" s="4" customFormat="1" ht="20.100000000000001" customHeight="1" x14ac:dyDescent="0.25">
      <c r="B35" s="69" t="s">
        <v>88</v>
      </c>
      <c r="C35" s="9"/>
      <c r="D35" s="9"/>
      <c r="E35" s="70"/>
      <c r="F35" s="9"/>
      <c r="G35" s="10"/>
      <c r="H35" s="16"/>
    </row>
    <row r="36" spans="2:8" s="4" customFormat="1" ht="30" customHeight="1" x14ac:dyDescent="0.25">
      <c r="B36" s="292" t="s">
        <v>217</v>
      </c>
      <c r="C36" s="291"/>
      <c r="D36" s="291"/>
      <c r="E36" s="291"/>
      <c r="F36" s="291"/>
      <c r="G36" s="297"/>
      <c r="H36" s="31"/>
    </row>
    <row r="37" spans="2:8" s="4" customFormat="1" ht="20.100000000000001" customHeight="1" x14ac:dyDescent="0.25">
      <c r="B37" s="23" t="s">
        <v>218</v>
      </c>
      <c r="C37" s="71"/>
      <c r="D37" s="71"/>
      <c r="E37" s="71"/>
      <c r="F37" s="71"/>
      <c r="G37" s="72">
        <v>1000000</v>
      </c>
      <c r="H37" s="73"/>
    </row>
    <row r="38" spans="2:8" s="4" customFormat="1" ht="16.5" customHeight="1" x14ac:dyDescent="0.25">
      <c r="B38" s="23" t="s">
        <v>92</v>
      </c>
      <c r="C38" s="16"/>
      <c r="D38" s="16"/>
      <c r="E38" s="16"/>
      <c r="F38" s="74"/>
      <c r="G38" s="72">
        <f>ROUND(G37*0.05,0)</f>
        <v>50000</v>
      </c>
      <c r="H38" s="73"/>
    </row>
    <row r="39" spans="2:8" s="4" customFormat="1" ht="20.100000000000001" customHeight="1" x14ac:dyDescent="0.25">
      <c r="B39" s="23" t="s">
        <v>93</v>
      </c>
      <c r="C39" s="16"/>
      <c r="D39" s="16"/>
      <c r="E39" s="16"/>
      <c r="F39" s="43"/>
      <c r="G39" s="72">
        <f>ROUND(G37*0.95,0)</f>
        <v>950000</v>
      </c>
      <c r="H39" s="73"/>
    </row>
    <row r="40" spans="2:8" s="4" customFormat="1" ht="20.100000000000001" customHeight="1" x14ac:dyDescent="0.25">
      <c r="B40" s="32" t="s">
        <v>96</v>
      </c>
      <c r="C40" s="33"/>
      <c r="D40" s="33"/>
      <c r="E40" s="33"/>
      <c r="F40" s="153">
        <v>100000</v>
      </c>
      <c r="G40" s="75"/>
      <c r="H40" s="76"/>
    </row>
    <row r="41" spans="2:8" s="4" customFormat="1" ht="16.95" customHeight="1" x14ac:dyDescent="0.25">
      <c r="B41" s="69" t="s">
        <v>98</v>
      </c>
      <c r="C41" s="9"/>
      <c r="D41" s="9" t="s">
        <v>219</v>
      </c>
      <c r="E41" s="9"/>
      <c r="F41" s="77"/>
      <c r="G41" s="78"/>
      <c r="H41" s="73"/>
    </row>
    <row r="42" spans="2:8" s="4" customFormat="1" ht="16.95" customHeight="1" x14ac:dyDescent="0.3">
      <c r="B42" s="23" t="s">
        <v>99</v>
      </c>
      <c r="C42" s="16"/>
      <c r="D42" s="79" t="s">
        <v>243</v>
      </c>
      <c r="E42" s="80"/>
      <c r="F42" s="81">
        <v>44166</v>
      </c>
      <c r="G42" s="72">
        <v>4000000</v>
      </c>
      <c r="H42" s="73"/>
    </row>
    <row r="43" spans="2:8" s="4" customFormat="1" ht="16.95" customHeight="1" x14ac:dyDescent="0.3">
      <c r="B43" s="23" t="s">
        <v>100</v>
      </c>
      <c r="C43" s="16"/>
      <c r="D43" s="16" t="s">
        <v>223</v>
      </c>
      <c r="E43" s="80"/>
      <c r="F43" s="82"/>
      <c r="G43" s="72">
        <f>ROUND(G42*1.09,0)</f>
        <v>4360000</v>
      </c>
      <c r="H43" s="73"/>
    </row>
    <row r="44" spans="2:8" s="4" customFormat="1" ht="16.95" customHeight="1" x14ac:dyDescent="0.25">
      <c r="B44" s="23" t="s">
        <v>101</v>
      </c>
      <c r="C44" s="16"/>
      <c r="D44" s="80"/>
      <c r="E44" s="80"/>
      <c r="F44" s="80"/>
      <c r="G44" s="72">
        <f>ROUND(G42*0.01,0)</f>
        <v>40000</v>
      </c>
      <c r="H44" s="73"/>
    </row>
    <row r="45" spans="2:8" s="4" customFormat="1" ht="16.95" customHeight="1" x14ac:dyDescent="0.3">
      <c r="B45" s="23" t="s">
        <v>102</v>
      </c>
      <c r="C45" s="16"/>
      <c r="D45" s="79" t="s">
        <v>220</v>
      </c>
      <c r="E45" s="80"/>
      <c r="F45" s="81">
        <v>41623</v>
      </c>
      <c r="G45" s="72">
        <f>ROUND(G42/5,0)</f>
        <v>800000</v>
      </c>
      <c r="H45" s="73"/>
    </row>
    <row r="46" spans="2:8" s="4" customFormat="1" ht="16.95" customHeight="1" x14ac:dyDescent="0.3">
      <c r="B46" s="32" t="s">
        <v>244</v>
      </c>
      <c r="C46" s="33"/>
      <c r="D46" s="33"/>
      <c r="E46" s="84"/>
      <c r="F46" s="85">
        <f>F42+110</f>
        <v>44276</v>
      </c>
      <c r="G46" s="86">
        <f>ROUND(G42*1,0)</f>
        <v>4000000</v>
      </c>
      <c r="H46" s="73"/>
    </row>
    <row r="47" spans="2:8" s="4" customFormat="1" ht="16.95" customHeight="1" x14ac:dyDescent="0.25">
      <c r="B47" s="69" t="s">
        <v>104</v>
      </c>
      <c r="C47" s="9"/>
      <c r="D47" s="9"/>
      <c r="E47" s="16"/>
      <c r="F47" s="16"/>
      <c r="G47" s="87"/>
      <c r="H47" s="73"/>
    </row>
    <row r="48" spans="2:8" s="4" customFormat="1" ht="16.95" customHeight="1" x14ac:dyDescent="0.25">
      <c r="B48" s="292" t="s">
        <v>258</v>
      </c>
      <c r="C48" s="291"/>
      <c r="D48" s="291"/>
      <c r="E48" s="291"/>
      <c r="F48" s="291"/>
      <c r="G48" s="72">
        <v>125000</v>
      </c>
      <c r="H48" s="73"/>
    </row>
    <row r="49" spans="2:8" s="4" customFormat="1" ht="16.95" customHeight="1" x14ac:dyDescent="0.25">
      <c r="B49" s="32" t="s">
        <v>105</v>
      </c>
      <c r="C49" s="35"/>
      <c r="D49" s="35"/>
      <c r="E49" s="35"/>
      <c r="F49" s="88"/>
      <c r="G49" s="86">
        <f>ROUND(G48/5,0)</f>
        <v>25000</v>
      </c>
      <c r="H49" s="73"/>
    </row>
    <row r="50" spans="2:8" s="4" customFormat="1" ht="16.95" customHeight="1" x14ac:dyDescent="0.25">
      <c r="B50" s="38" t="s">
        <v>107</v>
      </c>
      <c r="C50" s="38"/>
      <c r="D50" s="38"/>
      <c r="E50" s="38"/>
      <c r="F50" s="38"/>
      <c r="G50" s="90"/>
      <c r="H50" s="91"/>
    </row>
    <row r="51" spans="2:8" s="4" customFormat="1" ht="16.95" customHeight="1" x14ac:dyDescent="0.25">
      <c r="B51" s="38" t="s">
        <v>239</v>
      </c>
      <c r="C51" s="38"/>
      <c r="D51" s="38"/>
      <c r="E51" s="38"/>
      <c r="F51" s="89"/>
      <c r="G51" s="90">
        <v>1100000</v>
      </c>
      <c r="H51" s="91"/>
    </row>
    <row r="52" spans="2:8" s="4" customFormat="1" ht="16.95" customHeight="1" x14ac:dyDescent="0.25">
      <c r="B52" s="203" t="s">
        <v>240</v>
      </c>
      <c r="C52" s="38"/>
      <c r="D52" s="38"/>
      <c r="E52" s="38"/>
      <c r="F52" s="89"/>
      <c r="G52" s="90">
        <v>320000</v>
      </c>
      <c r="H52" s="91"/>
    </row>
    <row r="53" spans="2:8" s="4" customFormat="1" ht="16.95" customHeight="1" x14ac:dyDescent="0.25">
      <c r="B53" s="293" t="s">
        <v>250</v>
      </c>
      <c r="C53" s="294"/>
      <c r="D53" s="294"/>
      <c r="E53" s="294"/>
      <c r="F53" s="294"/>
      <c r="G53" s="295"/>
      <c r="H53" s="92"/>
    </row>
    <row r="54" spans="2:8" s="4" customFormat="1" ht="16.95" customHeight="1" x14ac:dyDescent="0.25">
      <c r="B54" s="296" t="s">
        <v>224</v>
      </c>
      <c r="C54" s="296"/>
      <c r="D54" s="296"/>
      <c r="E54" s="296"/>
      <c r="F54" s="296"/>
      <c r="G54" s="296"/>
      <c r="H54" s="93"/>
    </row>
    <row r="55" spans="2:8" s="4" customFormat="1" ht="17.399999999999999" customHeight="1" x14ac:dyDescent="0.25">
      <c r="B55" s="94" t="s">
        <v>109</v>
      </c>
      <c r="C55" s="95"/>
      <c r="D55" s="96">
        <f>ROUND(G58*1.1,0)</f>
        <v>6172320</v>
      </c>
      <c r="E55" s="97" t="s">
        <v>110</v>
      </c>
      <c r="F55" s="98"/>
      <c r="G55" s="96">
        <v>50100000</v>
      </c>
      <c r="H55" s="73"/>
    </row>
    <row r="56" spans="2:8" s="4" customFormat="1" ht="17.399999999999999" customHeight="1" x14ac:dyDescent="0.25">
      <c r="B56" s="94" t="s">
        <v>46</v>
      </c>
      <c r="C56" s="95"/>
      <c r="D56" s="96">
        <f>ROUND(G55*0.525,0)</f>
        <v>26302500</v>
      </c>
      <c r="E56" s="97" t="s">
        <v>112</v>
      </c>
      <c r="F56" s="98"/>
      <c r="G56" s="96">
        <f>ROUND(G55*0.06,0)</f>
        <v>3006000</v>
      </c>
      <c r="H56" s="73"/>
    </row>
    <row r="57" spans="2:8" s="4" customFormat="1" ht="17.399999999999999" customHeight="1" x14ac:dyDescent="0.25">
      <c r="B57" s="94" t="s">
        <v>113</v>
      </c>
      <c r="C57" s="95"/>
      <c r="D57" s="96">
        <f>ROUND(D56*0.06,0)</f>
        <v>1578150</v>
      </c>
      <c r="E57" s="97" t="s">
        <v>114</v>
      </c>
      <c r="F57" s="99"/>
      <c r="G57" s="96">
        <f>+G56</f>
        <v>3006000</v>
      </c>
      <c r="H57" s="73"/>
    </row>
    <row r="58" spans="2:8" s="4" customFormat="1" ht="17.399999999999999" customHeight="1" x14ac:dyDescent="0.25">
      <c r="B58" s="94" t="s">
        <v>115</v>
      </c>
      <c r="C58" s="95"/>
      <c r="D58" s="96">
        <f>+D57</f>
        <v>1578150</v>
      </c>
      <c r="E58" s="97" t="s">
        <v>116</v>
      </c>
      <c r="F58" s="99"/>
      <c r="G58" s="96">
        <f>ROUND(G55/10+G56/5,0)</f>
        <v>5611200</v>
      </c>
      <c r="H58" s="73"/>
    </row>
    <row r="59" spans="2:8" s="4" customFormat="1" ht="17.399999999999999" customHeight="1" x14ac:dyDescent="0.25">
      <c r="B59" s="94" t="s">
        <v>117</v>
      </c>
      <c r="C59" s="95"/>
      <c r="D59" s="96">
        <f>ROUND(G57/4,0)</f>
        <v>751500</v>
      </c>
      <c r="E59" s="100"/>
      <c r="F59" s="43"/>
      <c r="G59" s="101"/>
      <c r="H59" s="73"/>
    </row>
    <row r="60" spans="2:8" s="4" customFormat="1" ht="17.399999999999999" customHeight="1" x14ac:dyDescent="0.25">
      <c r="B60" s="102" t="s">
        <v>119</v>
      </c>
      <c r="C60" s="103"/>
      <c r="D60" s="104">
        <f>ROUND(D59/5,0)</f>
        <v>150300</v>
      </c>
      <c r="E60" s="100"/>
      <c r="F60" s="74"/>
      <c r="G60" s="101"/>
      <c r="H60" s="73"/>
    </row>
    <row r="61" spans="2:8" s="4" customFormat="1" ht="17.399999999999999" customHeight="1" x14ac:dyDescent="0.25">
      <c r="B61" s="105" t="s">
        <v>45</v>
      </c>
      <c r="C61" s="106"/>
      <c r="D61" s="107">
        <f>D62-SUM(D55:D60)</f>
        <v>25190280</v>
      </c>
      <c r="E61" s="100"/>
      <c r="F61" s="74"/>
      <c r="G61" s="101"/>
      <c r="H61" s="73"/>
    </row>
    <row r="62" spans="2:8" s="4" customFormat="1" ht="17.399999999999999" customHeight="1" thickBot="1" x14ac:dyDescent="0.3">
      <c r="B62" s="108"/>
      <c r="C62" s="109"/>
      <c r="D62" s="214">
        <f>+G62</f>
        <v>61723200</v>
      </c>
      <c r="E62" s="110"/>
      <c r="F62" s="111"/>
      <c r="G62" s="215">
        <f>SUM(G55:G60)</f>
        <v>61723200</v>
      </c>
      <c r="H62" s="73"/>
    </row>
    <row r="63" spans="2:8" s="4" customFormat="1" ht="17.399999999999999" customHeight="1" thickTop="1" x14ac:dyDescent="0.25">
      <c r="B63" s="112" t="s">
        <v>123</v>
      </c>
      <c r="C63" s="113"/>
      <c r="D63" s="114">
        <f>D59+D60</f>
        <v>901800</v>
      </c>
      <c r="E63" s="115" t="str">
        <f>+B61</f>
        <v>Gross Profit</v>
      </c>
      <c r="F63" s="74"/>
      <c r="G63" s="116">
        <f>+D61</f>
        <v>25190280</v>
      </c>
      <c r="H63" s="73"/>
    </row>
    <row r="64" spans="2:8" s="4" customFormat="1" ht="16.95" customHeight="1" x14ac:dyDescent="0.25">
      <c r="B64" s="94" t="s">
        <v>124</v>
      </c>
      <c r="C64" s="95"/>
      <c r="D64" s="96">
        <f>ROUND(+D59*1.1,0)</f>
        <v>826650</v>
      </c>
      <c r="E64" s="16"/>
      <c r="F64" s="74"/>
      <c r="G64" s="101"/>
      <c r="H64" s="73"/>
    </row>
    <row r="65" spans="2:8" s="4" customFormat="1" ht="16.95" customHeight="1" x14ac:dyDescent="0.25">
      <c r="B65" s="94" t="s">
        <v>125</v>
      </c>
      <c r="C65" s="95"/>
      <c r="D65" s="96">
        <f>ROUND(+G56/3,0)</f>
        <v>1002000</v>
      </c>
      <c r="E65" s="16"/>
      <c r="F65" s="74"/>
      <c r="G65" s="101"/>
      <c r="H65" s="73"/>
    </row>
    <row r="66" spans="2:8" s="4" customFormat="1" ht="16.95" customHeight="1" x14ac:dyDescent="0.25">
      <c r="B66" s="94" t="s">
        <v>126</v>
      </c>
      <c r="C66" s="95"/>
      <c r="D66" s="96">
        <f>ROUND(G55*0.12,0)-D82</f>
        <v>4584150</v>
      </c>
      <c r="E66" s="16"/>
      <c r="F66" s="43"/>
      <c r="G66" s="101"/>
      <c r="H66" s="73"/>
    </row>
    <row r="67" spans="2:8" s="4" customFormat="1" ht="16.95" customHeight="1" x14ac:dyDescent="0.25">
      <c r="B67" s="94" t="s">
        <v>127</v>
      </c>
      <c r="C67" s="95"/>
      <c r="D67" s="96">
        <f>ROUND(+D60+2000,0)</f>
        <v>152300</v>
      </c>
      <c r="E67" s="16"/>
      <c r="F67" s="74"/>
      <c r="G67" s="101"/>
      <c r="H67" s="73"/>
    </row>
    <row r="68" spans="2:8" s="4" customFormat="1" ht="16.95" customHeight="1" x14ac:dyDescent="0.25">
      <c r="B68" s="94" t="s">
        <v>128</v>
      </c>
      <c r="C68" s="95"/>
      <c r="D68" s="96">
        <f>ROUND(G55/62.5,0)</f>
        <v>801600</v>
      </c>
      <c r="E68" s="16"/>
      <c r="F68" s="74"/>
      <c r="G68" s="101"/>
      <c r="H68" s="73"/>
    </row>
    <row r="69" spans="2:8" s="4" customFormat="1" ht="16.95" customHeight="1" x14ac:dyDescent="0.25">
      <c r="B69" s="94" t="s">
        <v>129</v>
      </c>
      <c r="C69" s="95"/>
      <c r="D69" s="96">
        <f>ROUND(D68*2.25,0)-D81</f>
        <v>375750</v>
      </c>
      <c r="E69" s="16"/>
      <c r="F69" s="43"/>
      <c r="G69" s="101"/>
      <c r="H69" s="73"/>
    </row>
    <row r="70" spans="2:8" s="4" customFormat="1" ht="16.95" customHeight="1" x14ac:dyDescent="0.25">
      <c r="B70" s="94" t="s">
        <v>1</v>
      </c>
      <c r="C70" s="95"/>
      <c r="D70" s="96">
        <f>ROUND(+D65/2,0)</f>
        <v>501000</v>
      </c>
      <c r="E70" s="16"/>
      <c r="F70" s="74"/>
      <c r="G70" s="101"/>
      <c r="H70" s="73"/>
    </row>
    <row r="71" spans="2:8" s="4" customFormat="1" ht="16.95" customHeight="1" x14ac:dyDescent="0.25">
      <c r="B71" s="94" t="s">
        <v>130</v>
      </c>
      <c r="C71" s="95"/>
      <c r="D71" s="96">
        <f>D70+D68</f>
        <v>1302600</v>
      </c>
      <c r="E71" s="16"/>
      <c r="F71" s="74"/>
      <c r="G71" s="101"/>
      <c r="H71" s="73"/>
    </row>
    <row r="72" spans="2:8" s="4" customFormat="1" ht="16.95" customHeight="1" x14ac:dyDescent="0.25">
      <c r="B72" s="94" t="s">
        <v>131</v>
      </c>
      <c r="C72" s="95"/>
      <c r="D72" s="96">
        <f>ROUND(G56*0.1,0)</f>
        <v>300600</v>
      </c>
      <c r="E72" s="16"/>
      <c r="F72" s="251"/>
      <c r="G72" s="101"/>
      <c r="H72" s="73"/>
    </row>
    <row r="73" spans="2:8" s="4" customFormat="1" ht="16.95" customHeight="1" x14ac:dyDescent="0.25">
      <c r="B73" s="94" t="s">
        <v>132</v>
      </c>
      <c r="C73" s="95"/>
      <c r="D73" s="96">
        <f>ROUND(D66*0.015,0)</f>
        <v>68762</v>
      </c>
      <c r="E73" s="16"/>
      <c r="F73" s="74"/>
      <c r="G73" s="101"/>
      <c r="H73" s="73"/>
    </row>
    <row r="74" spans="2:8" s="4" customFormat="1" ht="16.95" customHeight="1" x14ac:dyDescent="0.25">
      <c r="B74" s="94" t="s">
        <v>133</v>
      </c>
      <c r="C74" s="95"/>
      <c r="D74" s="96">
        <f>ROUND(G55*0.016,0)</f>
        <v>801600</v>
      </c>
      <c r="E74" s="16"/>
      <c r="F74" s="74"/>
      <c r="G74" s="101"/>
      <c r="H74" s="73"/>
    </row>
    <row r="75" spans="2:8" s="4" customFormat="1" ht="24.9" customHeight="1" x14ac:dyDescent="0.25">
      <c r="B75" s="299" t="s">
        <v>162</v>
      </c>
      <c r="C75" s="300"/>
      <c r="D75" s="96">
        <v>100000</v>
      </c>
      <c r="E75" s="16"/>
      <c r="F75" s="74"/>
      <c r="G75" s="101"/>
      <c r="H75" s="73"/>
    </row>
    <row r="76" spans="2:8" s="4" customFormat="1" ht="18.75" customHeight="1" x14ac:dyDescent="0.25">
      <c r="B76" s="299" t="s">
        <v>175</v>
      </c>
      <c r="C76" s="300"/>
      <c r="D76" s="96">
        <v>40000</v>
      </c>
      <c r="E76" s="16"/>
      <c r="F76" s="74"/>
      <c r="G76" s="101"/>
      <c r="H76" s="74"/>
    </row>
    <row r="77" spans="2:8" s="4" customFormat="1" ht="17.399999999999999" customHeight="1" x14ac:dyDescent="0.25">
      <c r="B77" s="94" t="s">
        <v>134</v>
      </c>
      <c r="C77" s="95"/>
      <c r="D77" s="96">
        <f>ROUND(G55*0.0015,0)</f>
        <v>75150</v>
      </c>
      <c r="E77" s="16"/>
      <c r="F77" s="74"/>
      <c r="G77" s="101"/>
      <c r="H77" s="73"/>
    </row>
    <row r="78" spans="2:8" s="4" customFormat="1" ht="27.75" customHeight="1" x14ac:dyDescent="0.25">
      <c r="B78" s="302" t="s">
        <v>155</v>
      </c>
      <c r="C78" s="303"/>
      <c r="D78" s="254">
        <f>140000*12*3</f>
        <v>5040000</v>
      </c>
      <c r="E78" s="256" t="s">
        <v>137</v>
      </c>
      <c r="F78" s="161">
        <f>+'Sol-504'!C68</f>
        <v>4924297.8</v>
      </c>
      <c r="G78" s="101"/>
      <c r="H78" s="14"/>
    </row>
    <row r="79" spans="2:8" s="4" customFormat="1" ht="16.95" customHeight="1" x14ac:dyDescent="0.25">
      <c r="B79" s="94" t="s">
        <v>135</v>
      </c>
      <c r="C79" s="95"/>
      <c r="D79" s="255">
        <f>(D107+D108+D109)*0.15</f>
        <v>480000</v>
      </c>
      <c r="E79" s="257" t="s">
        <v>136</v>
      </c>
      <c r="F79" s="162">
        <f>(D107+D108+D109)*0.12</f>
        <v>384000</v>
      </c>
      <c r="G79" s="101"/>
      <c r="H79" s="14"/>
    </row>
    <row r="80" spans="2:8" s="4" customFormat="1" ht="16.95" customHeight="1" x14ac:dyDescent="0.25">
      <c r="B80" s="94" t="s">
        <v>2</v>
      </c>
      <c r="C80" s="95"/>
      <c r="D80" s="255">
        <v>249480</v>
      </c>
      <c r="E80" s="256"/>
      <c r="F80" s="154"/>
      <c r="G80" s="101"/>
      <c r="H80" s="159"/>
    </row>
    <row r="81" spans="2:8" s="4" customFormat="1" ht="16.95" customHeight="1" x14ac:dyDescent="0.25">
      <c r="B81" s="94" t="s">
        <v>253</v>
      </c>
      <c r="C81" s="95"/>
      <c r="D81" s="258">
        <f>G56-D57</f>
        <v>1427850</v>
      </c>
      <c r="E81" s="256"/>
      <c r="F81" s="154"/>
      <c r="G81" s="101"/>
      <c r="H81" s="159"/>
    </row>
    <row r="82" spans="2:8" s="4" customFormat="1" ht="16.95" customHeight="1" x14ac:dyDescent="0.25">
      <c r="B82" s="94" t="s">
        <v>254</v>
      </c>
      <c r="C82" s="95"/>
      <c r="D82" s="14">
        <f>G57-D58</f>
        <v>1427850</v>
      </c>
      <c r="E82" s="256"/>
      <c r="F82" s="154"/>
      <c r="G82" s="101"/>
      <c r="H82" s="159"/>
    </row>
    <row r="83" spans="2:8" s="4" customFormat="1" ht="16.95" customHeight="1" x14ac:dyDescent="0.25">
      <c r="B83" s="94" t="s">
        <v>138</v>
      </c>
      <c r="C83" s="95"/>
      <c r="D83" s="96">
        <v>3650300</v>
      </c>
      <c r="E83" s="16"/>
      <c r="F83" s="43"/>
      <c r="G83" s="101"/>
      <c r="H83" s="73"/>
    </row>
    <row r="84" spans="2:8" s="4" customFormat="1" ht="16.95" customHeight="1" x14ac:dyDescent="0.25">
      <c r="B84" s="253" t="s">
        <v>9</v>
      </c>
      <c r="C84" s="103"/>
      <c r="D84" s="252">
        <f>G85-SUM(D63:D83)</f>
        <v>1080838</v>
      </c>
      <c r="E84" s="16"/>
      <c r="F84" s="117"/>
      <c r="G84" s="114"/>
      <c r="H84" s="73"/>
    </row>
    <row r="85" spans="2:8" s="4" customFormat="1" ht="16.95" customHeight="1" thickBot="1" x14ac:dyDescent="0.3">
      <c r="B85" s="119"/>
      <c r="C85" s="120"/>
      <c r="D85" s="121">
        <f>+G85</f>
        <v>25190280</v>
      </c>
      <c r="E85" s="120"/>
      <c r="F85" s="122"/>
      <c r="G85" s="121">
        <f>SUM(G63:G84)</f>
        <v>25190280</v>
      </c>
      <c r="H85" s="123"/>
    </row>
    <row r="86" spans="2:8" s="4" customFormat="1" ht="16.95" customHeight="1" thickTop="1" x14ac:dyDescent="0.25">
      <c r="B86" s="80" t="s">
        <v>181</v>
      </c>
      <c r="C86" s="80"/>
      <c r="D86" s="124"/>
      <c r="E86" s="59"/>
      <c r="F86" s="125" t="s">
        <v>139</v>
      </c>
      <c r="G86" s="124">
        <v>50100000</v>
      </c>
      <c r="H86" s="123"/>
    </row>
    <row r="87" spans="2:8" s="4" customFormat="1" ht="21" customHeight="1" x14ac:dyDescent="0.25">
      <c r="B87" s="66" t="s">
        <v>140</v>
      </c>
      <c r="C87" s="38"/>
      <c r="D87" s="38"/>
      <c r="E87" s="38"/>
      <c r="F87" s="38"/>
      <c r="G87" s="38"/>
      <c r="H87" s="38"/>
    </row>
    <row r="88" spans="2:8" s="4" customFormat="1" ht="20.100000000000001" customHeight="1" x14ac:dyDescent="0.25">
      <c r="B88" s="54" t="s">
        <v>141</v>
      </c>
      <c r="C88" s="54"/>
      <c r="D88" s="54"/>
      <c r="E88" s="54"/>
      <c r="F88" s="54"/>
      <c r="G88" s="65">
        <f>ROUND(+D77*2,0)</f>
        <v>150300</v>
      </c>
      <c r="H88" s="126"/>
    </row>
    <row r="89" spans="2:8" s="4" customFormat="1" ht="20.100000000000001" hidden="1" customHeight="1" x14ac:dyDescent="0.25">
      <c r="B89" s="127" t="s">
        <v>142</v>
      </c>
      <c r="C89" s="127"/>
      <c r="D89" s="127"/>
      <c r="E89" s="127"/>
      <c r="F89" s="128">
        <f>+F42</f>
        <v>44166</v>
      </c>
      <c r="G89" s="129">
        <v>0</v>
      </c>
      <c r="H89" s="130"/>
    </row>
    <row r="90" spans="2:8" s="4" customFormat="1" ht="20.100000000000001" customHeight="1" x14ac:dyDescent="0.25">
      <c r="B90" s="54" t="s">
        <v>143</v>
      </c>
      <c r="C90" s="54"/>
      <c r="D90" s="54"/>
      <c r="E90" s="54"/>
      <c r="F90" s="54"/>
      <c r="G90" s="65">
        <f>+D77</f>
        <v>75150</v>
      </c>
      <c r="H90" s="126"/>
    </row>
    <row r="91" spans="2:8" s="4" customFormat="1" ht="20.100000000000001" customHeight="1" x14ac:dyDescent="0.25">
      <c r="B91" s="54" t="s">
        <v>144</v>
      </c>
      <c r="C91" s="54"/>
      <c r="D91" s="54"/>
      <c r="E91" s="54"/>
      <c r="F91" s="54"/>
      <c r="G91" s="65">
        <f>+G51+G52</f>
        <v>1420000</v>
      </c>
      <c r="H91" s="126"/>
    </row>
    <row r="92" spans="2:8" s="4" customFormat="1" ht="18.75" customHeight="1" x14ac:dyDescent="0.25">
      <c r="B92" s="301" t="s">
        <v>210</v>
      </c>
      <c r="C92" s="301"/>
      <c r="D92" s="301"/>
      <c r="E92" s="301"/>
      <c r="F92" s="301"/>
      <c r="G92" s="132">
        <v>250000</v>
      </c>
      <c r="H92" s="133"/>
    </row>
    <row r="93" spans="2:8" s="4" customFormat="1" ht="28.5" customHeight="1" x14ac:dyDescent="0.25">
      <c r="B93" s="301" t="s">
        <v>183</v>
      </c>
      <c r="C93" s="301"/>
      <c r="D93" s="301"/>
      <c r="E93" s="301"/>
      <c r="F93" s="301"/>
      <c r="G93" s="160">
        <v>50000</v>
      </c>
      <c r="H93" s="133"/>
    </row>
    <row r="94" spans="2:8" s="4" customFormat="1" ht="28.5" customHeight="1" x14ac:dyDescent="0.25">
      <c r="B94" s="301" t="s">
        <v>184</v>
      </c>
      <c r="C94" s="301"/>
      <c r="D94" s="301"/>
      <c r="E94" s="301"/>
      <c r="F94" s="301"/>
      <c r="G94" s="160">
        <f>+D75</f>
        <v>100000</v>
      </c>
      <c r="H94" s="133"/>
    </row>
    <row r="95" spans="2:8" s="4" customFormat="1" ht="21" customHeight="1" x14ac:dyDescent="0.25">
      <c r="B95" s="301" t="s">
        <v>225</v>
      </c>
      <c r="C95" s="301"/>
      <c r="D95" s="301"/>
      <c r="E95" s="301"/>
      <c r="F95" s="301"/>
      <c r="G95" s="132">
        <v>100000</v>
      </c>
      <c r="H95" s="133"/>
    </row>
    <row r="96" spans="2:8" s="4" customFormat="1" ht="22.5" customHeight="1" x14ac:dyDescent="0.25">
      <c r="B96" s="301" t="s">
        <v>226</v>
      </c>
      <c r="C96" s="301"/>
      <c r="D96" s="301"/>
      <c r="E96" s="301"/>
      <c r="F96" s="301"/>
      <c r="G96" s="132">
        <v>51000</v>
      </c>
      <c r="H96" s="133"/>
    </row>
    <row r="97" spans="2:9" s="4" customFormat="1" ht="20.100000000000001" customHeight="1" x14ac:dyDescent="0.25">
      <c r="B97" s="54" t="s">
        <v>251</v>
      </c>
      <c r="C97" s="54"/>
      <c r="D97" s="54"/>
      <c r="E97" s="54"/>
      <c r="F97" s="54"/>
      <c r="G97" s="38"/>
      <c r="H97" s="38"/>
    </row>
    <row r="98" spans="2:9" s="4" customFormat="1" ht="22.5" customHeight="1" x14ac:dyDescent="0.25">
      <c r="B98" s="134"/>
      <c r="C98" s="40"/>
      <c r="D98" s="40"/>
      <c r="E98" s="41"/>
      <c r="F98" s="135" t="s">
        <v>145</v>
      </c>
      <c r="G98" s="135" t="s">
        <v>146</v>
      </c>
      <c r="H98" s="136"/>
    </row>
    <row r="99" spans="2:9" s="4" customFormat="1" ht="20.100000000000001" customHeight="1" x14ac:dyDescent="0.25">
      <c r="B99" s="137" t="s">
        <v>147</v>
      </c>
      <c r="C99" s="40"/>
      <c r="D99" s="41"/>
      <c r="E99" s="138">
        <v>43922</v>
      </c>
      <c r="F99" s="139">
        <v>1100000</v>
      </c>
      <c r="G99" s="139">
        <v>200000</v>
      </c>
      <c r="H99" s="140"/>
    </row>
    <row r="100" spans="2:9" s="4" customFormat="1" ht="20.100000000000001" customHeight="1" x14ac:dyDescent="0.25">
      <c r="B100" s="137" t="s">
        <v>214</v>
      </c>
      <c r="C100" s="40"/>
      <c r="D100" s="41"/>
      <c r="E100" s="138">
        <v>43947</v>
      </c>
      <c r="F100" s="139">
        <f>ROUND(F99*0.2,0)</f>
        <v>220000</v>
      </c>
      <c r="G100" s="139">
        <f>ROUND(G99*0.2,0)</f>
        <v>40000</v>
      </c>
      <c r="H100" s="140"/>
      <c r="I100" s="14"/>
    </row>
    <row r="101" spans="2:9" s="4" customFormat="1" ht="20.100000000000001" customHeight="1" x14ac:dyDescent="0.25">
      <c r="B101" s="137" t="s">
        <v>215</v>
      </c>
      <c r="C101" s="40"/>
      <c r="D101" s="41"/>
      <c r="E101" s="138">
        <f>E100+35</f>
        <v>43982</v>
      </c>
      <c r="F101" s="139">
        <f>ROUND(F100*0.3,0)*-1</f>
        <v>-66000</v>
      </c>
      <c r="G101" s="139">
        <v>-250000</v>
      </c>
      <c r="H101" s="140"/>
    </row>
    <row r="102" spans="2:9" s="4" customFormat="1" ht="20.100000000000001" customHeight="1" x14ac:dyDescent="0.25">
      <c r="B102" s="137" t="s">
        <v>214</v>
      </c>
      <c r="C102" s="40"/>
      <c r="D102" s="41"/>
      <c r="E102" s="138">
        <f>E100+175</f>
        <v>44122</v>
      </c>
      <c r="F102" s="139">
        <f>ROUND(F100*0.6,0)</f>
        <v>132000</v>
      </c>
      <c r="G102" s="139"/>
      <c r="H102" s="140"/>
    </row>
    <row r="103" spans="2:9" s="4" customFormat="1" ht="19.5" customHeight="1" x14ac:dyDescent="0.25">
      <c r="B103" s="304" t="s">
        <v>227</v>
      </c>
      <c r="C103" s="304"/>
      <c r="D103" s="304"/>
      <c r="E103" s="304"/>
      <c r="F103" s="304"/>
      <c r="G103" s="304"/>
      <c r="H103" s="142"/>
    </row>
    <row r="104" spans="2:9" s="4" customFormat="1" ht="14.25" customHeight="1" x14ac:dyDescent="0.3">
      <c r="B104" s="201"/>
      <c r="C104" s="201"/>
      <c r="D104" s="201"/>
      <c r="E104" s="201"/>
      <c r="F104" s="201"/>
      <c r="G104" s="201"/>
      <c r="H104" s="198"/>
    </row>
    <row r="105" spans="2:9" s="4" customFormat="1" ht="17.25" customHeight="1" x14ac:dyDescent="0.25">
      <c r="B105" s="307" t="s">
        <v>228</v>
      </c>
      <c r="C105" s="307"/>
      <c r="D105" s="307"/>
      <c r="E105" s="307"/>
      <c r="F105" s="307"/>
      <c r="G105" s="307"/>
      <c r="H105" s="143"/>
    </row>
    <row r="106" spans="2:9" s="4" customFormat="1" ht="20.100000000000001" customHeight="1" x14ac:dyDescent="0.25">
      <c r="B106" s="8" t="s">
        <v>148</v>
      </c>
      <c r="C106" s="10"/>
      <c r="D106" s="96"/>
      <c r="E106" s="137" t="s">
        <v>116</v>
      </c>
      <c r="F106" s="41"/>
      <c r="G106" s="96">
        <f>+G58</f>
        <v>5611200</v>
      </c>
      <c r="H106" s="73"/>
    </row>
    <row r="107" spans="2:9" s="4" customFormat="1" ht="20.100000000000001" customHeight="1" x14ac:dyDescent="0.25">
      <c r="B107" s="56" t="str">
        <f>+E18</f>
        <v>Rakhi Sawant</v>
      </c>
      <c r="C107" s="41"/>
      <c r="D107" s="144">
        <v>1600000</v>
      </c>
      <c r="E107" s="137" t="s">
        <v>149</v>
      </c>
      <c r="F107" s="41"/>
      <c r="G107" s="96">
        <f>ROUND((D107+D108+D109)*1.75,0)</f>
        <v>5600000</v>
      </c>
      <c r="H107" s="73"/>
    </row>
    <row r="108" spans="2:9" s="4" customFormat="1" ht="20.100000000000001" customHeight="1" x14ac:dyDescent="0.25">
      <c r="B108" s="150" t="str">
        <f>+F18</f>
        <v>Rubina Dilaik</v>
      </c>
      <c r="C108" s="41"/>
      <c r="D108" s="96">
        <f>D107/E20*F20</f>
        <v>960000</v>
      </c>
      <c r="E108" s="137" t="s">
        <v>150</v>
      </c>
      <c r="F108" s="41"/>
      <c r="G108" s="96">
        <f>SUM(F99:F102)-249480</f>
        <v>1136520</v>
      </c>
      <c r="H108" s="73"/>
    </row>
    <row r="109" spans="2:9" s="4" customFormat="1" ht="20.100000000000001" customHeight="1" x14ac:dyDescent="0.25">
      <c r="B109" s="150" t="str">
        <f>+G18</f>
        <v>Rahul Vaidya</v>
      </c>
      <c r="C109" s="41"/>
      <c r="D109" s="96">
        <f>D107/E20*G20</f>
        <v>640000</v>
      </c>
      <c r="E109" s="137" t="s">
        <v>151</v>
      </c>
      <c r="F109" s="41"/>
      <c r="G109" s="96">
        <f>D107+D108</f>
        <v>2560000</v>
      </c>
      <c r="H109" s="73"/>
    </row>
    <row r="110" spans="2:9" s="4" customFormat="1" ht="20.100000000000001" customHeight="1" x14ac:dyDescent="0.25">
      <c r="B110" s="137" t="s">
        <v>152</v>
      </c>
      <c r="C110" s="41"/>
      <c r="D110" s="96">
        <f>D112-(D107+D108+D109)</f>
        <v>23786635</v>
      </c>
      <c r="E110" s="137" t="s">
        <v>153</v>
      </c>
      <c r="F110" s="41"/>
      <c r="G110" s="96">
        <f>G107+G106+25000</f>
        <v>11236200</v>
      </c>
      <c r="H110" s="73"/>
    </row>
    <row r="111" spans="2:9" s="4" customFormat="1" ht="20.100000000000001" customHeight="1" x14ac:dyDescent="0.25">
      <c r="B111" s="145"/>
      <c r="C111" s="33"/>
      <c r="D111" s="96"/>
      <c r="E111" s="137" t="s">
        <v>154</v>
      </c>
      <c r="F111" s="41"/>
      <c r="G111" s="96">
        <f>ROUND(G110*0.075,0)</f>
        <v>842715</v>
      </c>
      <c r="H111" s="73"/>
    </row>
    <row r="112" spans="2:9" s="4" customFormat="1" ht="20.100000000000001" customHeight="1" thickBot="1" x14ac:dyDescent="0.3">
      <c r="B112" s="119"/>
      <c r="C112" s="120"/>
      <c r="D112" s="121">
        <f>+G112</f>
        <v>26986635</v>
      </c>
      <c r="E112" s="146"/>
      <c r="F112" s="147"/>
      <c r="G112" s="121">
        <f>SUM(G106:G111)</f>
        <v>26986635</v>
      </c>
      <c r="H112" s="123"/>
    </row>
    <row r="113" spans="2:8" s="4" customFormat="1" ht="20.100000000000001" customHeight="1" thickTop="1" x14ac:dyDescent="0.25">
      <c r="B113" s="16"/>
      <c r="C113" s="16"/>
      <c r="D113" s="199"/>
      <c r="E113" s="200"/>
      <c r="F113" s="93"/>
      <c r="G113" s="199"/>
      <c r="H113" s="123"/>
    </row>
    <row r="114" spans="2:8" s="4" customFormat="1" ht="20.100000000000001" customHeight="1" x14ac:dyDescent="0.25">
      <c r="B114" s="202" t="s">
        <v>257</v>
      </c>
      <c r="C114" s="16"/>
      <c r="D114" s="199"/>
      <c r="E114" s="200"/>
      <c r="F114" s="93"/>
      <c r="G114" s="199"/>
      <c r="H114" s="123"/>
    </row>
    <row r="115" spans="2:8" s="4" customFormat="1" ht="20.100000000000001" customHeight="1" x14ac:dyDescent="0.3">
      <c r="B115" s="306" t="s">
        <v>238</v>
      </c>
      <c r="C115" s="306"/>
      <c r="D115" s="306"/>
      <c r="E115" s="306"/>
      <c r="F115" s="306"/>
      <c r="G115" s="199"/>
      <c r="H115" s="123"/>
    </row>
    <row r="116" spans="2:8" s="4" customFormat="1" ht="20.100000000000001" customHeight="1" x14ac:dyDescent="0.3">
      <c r="B116" s="305" t="s">
        <v>213</v>
      </c>
      <c r="C116" s="305"/>
      <c r="D116" s="305"/>
      <c r="E116" s="305"/>
      <c r="F116" s="305"/>
      <c r="G116" s="132">
        <v>150000</v>
      </c>
      <c r="H116" s="123"/>
    </row>
    <row r="117" spans="2:8" s="4" customFormat="1" ht="20.100000000000001" customHeight="1" x14ac:dyDescent="0.3">
      <c r="B117" s="306" t="s">
        <v>212</v>
      </c>
      <c r="C117" s="306"/>
      <c r="D117" s="306"/>
      <c r="E117" s="306"/>
      <c r="F117" s="306"/>
      <c r="G117" s="259">
        <v>10500</v>
      </c>
      <c r="H117" s="123"/>
    </row>
    <row r="118" spans="2:8" s="4" customFormat="1" ht="20.100000000000001" customHeight="1" x14ac:dyDescent="0.25">
      <c r="B118" s="291" t="s">
        <v>255</v>
      </c>
      <c r="C118" s="291"/>
      <c r="D118" s="291"/>
      <c r="E118" s="291"/>
      <c r="F118" s="291"/>
      <c r="G118" s="259">
        <v>250000</v>
      </c>
      <c r="H118" s="123"/>
    </row>
    <row r="119" spans="2:8" s="4" customFormat="1" ht="20.100000000000001" customHeight="1" x14ac:dyDescent="0.25">
      <c r="B119" s="291" t="s">
        <v>256</v>
      </c>
      <c r="C119" s="291"/>
      <c r="D119" s="291"/>
      <c r="E119" s="291"/>
      <c r="F119" s="291"/>
      <c r="G119" s="38">
        <v>100000</v>
      </c>
      <c r="H119" s="38"/>
    </row>
    <row r="120" spans="2:8" s="4" customFormat="1" ht="20.100000000000001" customHeight="1" x14ac:dyDescent="0.25">
      <c r="G120" s="38"/>
      <c r="H120" s="38"/>
    </row>
    <row r="121" spans="2:8" s="4" customFormat="1" ht="20.100000000000001" customHeight="1" x14ac:dyDescent="0.25">
      <c r="B121" s="54"/>
      <c r="C121" s="38"/>
      <c r="D121" s="38"/>
      <c r="E121" s="38"/>
      <c r="F121" s="38"/>
      <c r="G121" s="38"/>
      <c r="H121" s="38"/>
    </row>
    <row r="122" spans="2:8" s="4" customFormat="1" ht="20.100000000000001" customHeight="1" x14ac:dyDescent="0.25">
      <c r="B122" s="38"/>
      <c r="C122" s="38"/>
      <c r="D122" s="38"/>
      <c r="E122" s="38"/>
      <c r="F122" s="38"/>
      <c r="G122" s="38"/>
      <c r="H122" s="38"/>
    </row>
    <row r="123" spans="2:8" s="4" customFormat="1" ht="20.100000000000001" customHeight="1" x14ac:dyDescent="0.25">
      <c r="B123" s="38"/>
      <c r="C123" s="38"/>
      <c r="D123" s="38"/>
      <c r="E123" s="38"/>
      <c r="F123" s="38"/>
      <c r="G123" s="38"/>
      <c r="H123" s="38"/>
    </row>
    <row r="124" spans="2:8" s="4" customFormat="1" ht="20.100000000000001" customHeight="1" x14ac:dyDescent="0.25">
      <c r="B124" s="38"/>
      <c r="C124" s="38"/>
      <c r="D124" s="38"/>
      <c r="E124" s="38"/>
      <c r="F124" s="38"/>
      <c r="G124" s="38"/>
      <c r="H124" s="38"/>
    </row>
    <row r="125" spans="2:8" s="4" customFormat="1" ht="20.100000000000001" customHeight="1" x14ac:dyDescent="0.25">
      <c r="B125" s="38"/>
      <c r="C125" s="38"/>
      <c r="D125" s="38"/>
      <c r="E125" s="38"/>
      <c r="F125" s="38"/>
      <c r="G125" s="38"/>
      <c r="H125" s="38"/>
    </row>
    <row r="126" spans="2:8" s="4" customFormat="1" ht="20.100000000000001" customHeight="1" x14ac:dyDescent="0.25">
      <c r="B126" s="38"/>
      <c r="C126" s="38"/>
      <c r="D126" s="38"/>
      <c r="E126" s="38"/>
      <c r="F126" s="38"/>
      <c r="G126" s="38"/>
      <c r="H126" s="38"/>
    </row>
    <row r="127" spans="2:8" s="4" customFormat="1" ht="20.100000000000001" customHeight="1" x14ac:dyDescent="0.25">
      <c r="B127" s="38"/>
      <c r="C127" s="38"/>
      <c r="D127" s="38"/>
      <c r="E127" s="38"/>
      <c r="F127" s="38"/>
      <c r="G127" s="38"/>
      <c r="H127" s="38"/>
    </row>
    <row r="128" spans="2:8" s="4" customFormat="1" ht="20.100000000000001" customHeight="1" x14ac:dyDescent="0.25">
      <c r="B128" s="38"/>
      <c r="C128" s="38"/>
      <c r="D128" s="38"/>
      <c r="E128" s="38"/>
      <c r="F128" s="38"/>
      <c r="G128" s="38"/>
      <c r="H128" s="38"/>
    </row>
    <row r="129" spans="2:8" s="4" customFormat="1" ht="20.100000000000001" customHeight="1" x14ac:dyDescent="0.25">
      <c r="B129" s="38"/>
      <c r="C129" s="38"/>
      <c r="D129" s="38"/>
      <c r="E129" s="38"/>
      <c r="F129" s="38"/>
      <c r="G129" s="38"/>
      <c r="H129" s="38"/>
    </row>
    <row r="130" spans="2:8" s="4" customFormat="1" ht="20.100000000000001" customHeight="1" x14ac:dyDescent="0.25">
      <c r="B130" s="38"/>
      <c r="C130" s="38"/>
      <c r="D130" s="38"/>
      <c r="E130" s="38"/>
      <c r="F130" s="38"/>
      <c r="G130" s="38"/>
      <c r="H130" s="38"/>
    </row>
    <row r="131" spans="2:8" s="4" customFormat="1" ht="20.100000000000001" customHeight="1" x14ac:dyDescent="0.25">
      <c r="B131" s="38"/>
      <c r="C131" s="38"/>
      <c r="D131" s="38"/>
      <c r="E131" s="38"/>
      <c r="F131" s="38"/>
      <c r="G131" s="38"/>
      <c r="H131" s="38"/>
    </row>
    <row r="132" spans="2:8" s="4" customFormat="1" ht="20.100000000000001" customHeight="1" x14ac:dyDescent="0.25">
      <c r="B132" s="38"/>
      <c r="C132" s="38"/>
      <c r="D132" s="38"/>
      <c r="E132" s="38"/>
      <c r="F132" s="38"/>
      <c r="G132" s="38"/>
      <c r="H132" s="38"/>
    </row>
    <row r="133" spans="2:8" s="4" customFormat="1" ht="20.100000000000001" customHeight="1" x14ac:dyDescent="0.25">
      <c r="B133" s="38"/>
      <c r="C133" s="38"/>
      <c r="D133" s="38"/>
      <c r="E133" s="38"/>
      <c r="F133" s="38"/>
      <c r="G133" s="38"/>
      <c r="H133" s="38"/>
    </row>
    <row r="134" spans="2:8" s="4" customFormat="1" ht="20.100000000000001" customHeight="1" x14ac:dyDescent="0.25">
      <c r="B134" s="38"/>
      <c r="C134" s="38"/>
      <c r="D134" s="38"/>
      <c r="E134" s="38"/>
      <c r="F134" s="38"/>
      <c r="G134" s="38"/>
      <c r="H134" s="38"/>
    </row>
    <row r="135" spans="2:8" s="4" customFormat="1" ht="20.100000000000001" customHeight="1" x14ac:dyDescent="0.25">
      <c r="B135" s="38"/>
      <c r="C135" s="38"/>
      <c r="D135" s="38"/>
      <c r="E135" s="38"/>
      <c r="F135" s="38"/>
      <c r="G135" s="38"/>
      <c r="H135" s="38"/>
    </row>
    <row r="136" spans="2:8" s="4" customFormat="1" ht="20.100000000000001" customHeight="1" x14ac:dyDescent="0.25">
      <c r="B136" s="38"/>
      <c r="C136" s="38"/>
      <c r="D136" s="38"/>
      <c r="E136" s="38"/>
      <c r="F136" s="38"/>
      <c r="G136" s="38"/>
      <c r="H136" s="38"/>
    </row>
    <row r="137" spans="2:8" s="4" customFormat="1" ht="20.100000000000001" customHeight="1" x14ac:dyDescent="0.25">
      <c r="B137" s="38"/>
      <c r="C137" s="38"/>
      <c r="D137" s="38"/>
      <c r="E137" s="38"/>
      <c r="F137" s="38"/>
      <c r="G137" s="38"/>
      <c r="H137" s="38"/>
    </row>
    <row r="138" spans="2:8" s="4" customFormat="1" ht="20.100000000000001" customHeight="1" x14ac:dyDescent="0.25">
      <c r="B138" s="38"/>
      <c r="C138" s="38"/>
      <c r="D138" s="38"/>
      <c r="E138" s="38"/>
      <c r="F138" s="38"/>
      <c r="G138" s="38"/>
      <c r="H138" s="38"/>
    </row>
    <row r="139" spans="2:8" s="4" customFormat="1" ht="20.100000000000001" customHeight="1" x14ac:dyDescent="0.25">
      <c r="B139" s="38"/>
      <c r="C139" s="38"/>
      <c r="D139" s="38"/>
      <c r="E139" s="38"/>
      <c r="F139" s="38"/>
      <c r="G139" s="38"/>
      <c r="H139" s="38"/>
    </row>
    <row r="140" spans="2:8" s="4" customFormat="1" ht="20.100000000000001" customHeight="1" x14ac:dyDescent="0.25">
      <c r="B140" s="38"/>
      <c r="C140" s="38"/>
      <c r="D140" s="38"/>
      <c r="E140" s="38"/>
      <c r="F140" s="38"/>
      <c r="G140" s="38"/>
      <c r="H140" s="38"/>
    </row>
    <row r="141" spans="2:8" s="4" customFormat="1" ht="20.100000000000001" customHeight="1" x14ac:dyDescent="0.25">
      <c r="B141" s="38"/>
      <c r="C141" s="38"/>
      <c r="D141" s="38"/>
      <c r="E141" s="38"/>
      <c r="F141" s="38"/>
      <c r="G141" s="38"/>
      <c r="H141" s="38"/>
    </row>
    <row r="142" spans="2:8" s="4" customFormat="1" ht="20.100000000000001" customHeight="1" x14ac:dyDescent="0.25">
      <c r="B142" s="38"/>
      <c r="C142" s="38"/>
      <c r="D142" s="38"/>
      <c r="E142" s="38"/>
      <c r="F142" s="38"/>
      <c r="G142" s="38"/>
      <c r="H142" s="38"/>
    </row>
    <row r="143" spans="2:8" s="4" customFormat="1" ht="20.100000000000001" customHeight="1" x14ac:dyDescent="0.25">
      <c r="B143" s="38"/>
      <c r="C143" s="38"/>
      <c r="D143" s="38"/>
      <c r="E143" s="38"/>
      <c r="F143" s="38"/>
      <c r="G143" s="38"/>
      <c r="H143" s="38"/>
    </row>
    <row r="144" spans="2:8" s="4" customFormat="1" ht="20.100000000000001" customHeight="1" x14ac:dyDescent="0.25">
      <c r="B144" s="38"/>
      <c r="C144" s="38"/>
      <c r="D144" s="38"/>
      <c r="E144" s="38"/>
      <c r="F144" s="38"/>
      <c r="G144" s="38"/>
      <c r="H144" s="38"/>
    </row>
    <row r="145" spans="2:8" s="4" customFormat="1" ht="20.100000000000001" customHeight="1" x14ac:dyDescent="0.25">
      <c r="B145" s="38"/>
      <c r="C145" s="38"/>
      <c r="D145" s="38"/>
      <c r="E145" s="38"/>
      <c r="F145" s="38"/>
      <c r="G145" s="38"/>
      <c r="H145" s="38"/>
    </row>
    <row r="146" spans="2:8" s="4" customFormat="1" ht="20.100000000000001" customHeight="1" x14ac:dyDescent="0.25">
      <c r="B146" s="38"/>
      <c r="C146" s="38"/>
      <c r="D146" s="38"/>
      <c r="E146" s="38"/>
      <c r="F146" s="38"/>
      <c r="G146" s="38"/>
      <c r="H146" s="38"/>
    </row>
    <row r="147" spans="2:8" s="4" customFormat="1" ht="20.100000000000001" customHeight="1" x14ac:dyDescent="0.25">
      <c r="B147" s="38"/>
      <c r="C147" s="38"/>
      <c r="D147" s="38"/>
      <c r="E147" s="38"/>
      <c r="F147" s="38"/>
      <c r="G147" s="38"/>
      <c r="H147" s="38"/>
    </row>
    <row r="148" spans="2:8" s="4" customFormat="1" ht="20.100000000000001" customHeight="1" x14ac:dyDescent="0.25">
      <c r="B148" s="38"/>
      <c r="C148" s="38"/>
      <c r="D148" s="38"/>
      <c r="E148" s="38"/>
      <c r="F148" s="38"/>
      <c r="G148" s="38"/>
      <c r="H148" s="38"/>
    </row>
    <row r="149" spans="2:8" s="4" customFormat="1" ht="20.100000000000001" customHeight="1" x14ac:dyDescent="0.25">
      <c r="B149" s="38"/>
      <c r="C149" s="38"/>
      <c r="D149" s="38"/>
      <c r="E149" s="38"/>
      <c r="F149" s="38"/>
      <c r="G149" s="38"/>
      <c r="H149" s="38"/>
    </row>
  </sheetData>
  <mergeCells count="37">
    <mergeCell ref="A1:G1"/>
    <mergeCell ref="A2:G2"/>
    <mergeCell ref="A3:G3"/>
    <mergeCell ref="B30:C30"/>
    <mergeCell ref="D30:E30"/>
    <mergeCell ref="F30:G30"/>
    <mergeCell ref="B4:G4"/>
    <mergeCell ref="E15:G15"/>
    <mergeCell ref="D29:E29"/>
    <mergeCell ref="F29:G29"/>
    <mergeCell ref="D27:E27"/>
    <mergeCell ref="F27:G27"/>
    <mergeCell ref="B28:C28"/>
    <mergeCell ref="D28:E28"/>
    <mergeCell ref="F28:G28"/>
    <mergeCell ref="B29:C29"/>
    <mergeCell ref="B119:F119"/>
    <mergeCell ref="B75:C75"/>
    <mergeCell ref="B93:F93"/>
    <mergeCell ref="B76:C76"/>
    <mergeCell ref="B95:F95"/>
    <mergeCell ref="B96:F96"/>
    <mergeCell ref="B94:F94"/>
    <mergeCell ref="B78:C78"/>
    <mergeCell ref="B92:F92"/>
    <mergeCell ref="B103:G103"/>
    <mergeCell ref="B116:F116"/>
    <mergeCell ref="B115:F115"/>
    <mergeCell ref="B117:F117"/>
    <mergeCell ref="B105:G105"/>
    <mergeCell ref="F31:G31"/>
    <mergeCell ref="B118:F118"/>
    <mergeCell ref="B48:F48"/>
    <mergeCell ref="B53:G53"/>
    <mergeCell ref="B54:G54"/>
    <mergeCell ref="B36:G36"/>
    <mergeCell ref="D31:E31"/>
  </mergeCells>
  <printOptions horizontalCentered="1"/>
  <pageMargins left="0.19685039370078741" right="0.19685039370078741" top="0.19685039370078741" bottom="0.19685039370078741" header="0" footer="0"/>
  <pageSetup paperSize="9" scale="92" fitToHeight="0" orientation="portrait" r:id="rId1"/>
  <rowBreaks count="2" manualBreakCount="2">
    <brk id="40" min="1" max="6" man="1"/>
    <brk id="8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EF43-123A-4C4D-9E09-038B613236BB}">
  <dimension ref="A1:K54"/>
  <sheetViews>
    <sheetView tabSelected="1" zoomScale="150" zoomScaleNormal="150" workbookViewId="0">
      <selection activeCell="E6" sqref="E6"/>
    </sheetView>
  </sheetViews>
  <sheetFormatPr defaultColWidth="15.6640625" defaultRowHeight="20.100000000000001" customHeight="1" x14ac:dyDescent="0.25"/>
  <cols>
    <col min="1" max="1" width="1.6640625" style="262" customWidth="1"/>
    <col min="2" max="2" width="16.88671875" style="261" customWidth="1"/>
    <col min="3" max="3" width="17.33203125" style="261" customWidth="1"/>
    <col min="4" max="4" width="20.77734375" style="261" customWidth="1"/>
    <col min="5" max="5" width="24.88671875" style="261" customWidth="1"/>
    <col min="6" max="6" width="18.44140625" style="261" customWidth="1"/>
    <col min="7" max="7" width="11.5546875" style="261" customWidth="1"/>
    <col min="8" max="16384" width="15.6640625" style="262"/>
  </cols>
  <sheetData>
    <row r="1" spans="1:11" ht="20.100000000000001" customHeight="1" x14ac:dyDescent="0.4">
      <c r="A1" s="328" t="s">
        <v>246</v>
      </c>
      <c r="B1" s="329"/>
      <c r="C1" s="329"/>
      <c r="D1" s="329"/>
      <c r="E1" s="329"/>
      <c r="F1" s="330"/>
    </row>
    <row r="2" spans="1:11" ht="20.100000000000001" customHeight="1" x14ac:dyDescent="0.4">
      <c r="A2" s="331" t="s">
        <v>247</v>
      </c>
      <c r="B2" s="332"/>
      <c r="C2" s="332"/>
      <c r="D2" s="332"/>
      <c r="E2" s="332"/>
      <c r="F2" s="333"/>
    </row>
    <row r="3" spans="1:11" ht="18" customHeight="1" x14ac:dyDescent="0.25">
      <c r="A3" s="310" t="s">
        <v>248</v>
      </c>
      <c r="B3" s="311"/>
      <c r="C3" s="311"/>
      <c r="D3" s="311"/>
      <c r="E3" s="311"/>
      <c r="F3" s="338"/>
    </row>
    <row r="4" spans="1:11" ht="20.100000000000001" customHeight="1" x14ac:dyDescent="0.25">
      <c r="A4" s="273"/>
      <c r="B4" s="339" t="s">
        <v>259</v>
      </c>
      <c r="C4" s="339"/>
      <c r="D4" s="339"/>
      <c r="E4" s="339"/>
      <c r="F4" s="340"/>
      <c r="G4" s="263"/>
    </row>
    <row r="5" spans="1:11" ht="20.100000000000001" customHeight="1" x14ac:dyDescent="0.25">
      <c r="A5" s="274"/>
      <c r="B5" s="9" t="s">
        <v>266</v>
      </c>
      <c r="C5" s="9"/>
      <c r="D5" s="9"/>
      <c r="E5" s="271" t="s">
        <v>160</v>
      </c>
      <c r="F5" s="275"/>
      <c r="G5" s="263"/>
    </row>
    <row r="6" spans="1:11" ht="20.100000000000001" customHeight="1" x14ac:dyDescent="0.25">
      <c r="A6" s="276"/>
      <c r="B6" s="16" t="s">
        <v>267</v>
      </c>
      <c r="C6" s="16"/>
      <c r="D6" s="16"/>
      <c r="E6" s="266" t="s">
        <v>156</v>
      </c>
      <c r="F6" s="277"/>
      <c r="G6" s="263"/>
    </row>
    <row r="7" spans="1:11" ht="20.100000000000001" customHeight="1" x14ac:dyDescent="0.25">
      <c r="A7" s="276"/>
      <c r="B7" s="16" t="s">
        <v>5</v>
      </c>
      <c r="C7" s="16"/>
      <c r="D7" s="16"/>
      <c r="E7" s="267">
        <v>0.5</v>
      </c>
      <c r="F7" s="277"/>
      <c r="G7" s="263"/>
    </row>
    <row r="8" spans="1:11" s="80" customFormat="1" ht="21.6" customHeight="1" x14ac:dyDescent="0.25">
      <c r="A8" s="165"/>
      <c r="B8" s="16" t="s">
        <v>276</v>
      </c>
      <c r="C8" s="16"/>
      <c r="D8" s="16"/>
      <c r="E8" s="326" t="s">
        <v>82</v>
      </c>
      <c r="F8" s="327"/>
      <c r="G8" s="260"/>
    </row>
    <row r="9" spans="1:11" s="80" customFormat="1" ht="20.100000000000001" customHeight="1" x14ac:dyDescent="0.25">
      <c r="A9" s="165"/>
      <c r="B9" s="334" t="s">
        <v>263</v>
      </c>
      <c r="C9" s="334"/>
      <c r="D9" s="334"/>
      <c r="E9" s="268" t="s">
        <v>262</v>
      </c>
      <c r="F9" s="278">
        <v>1680000</v>
      </c>
      <c r="G9" s="260"/>
    </row>
    <row r="10" spans="1:11" s="80" customFormat="1" ht="20.100000000000001" customHeight="1" x14ac:dyDescent="0.25">
      <c r="A10" s="165"/>
      <c r="B10" s="335" t="s">
        <v>271</v>
      </c>
      <c r="C10" s="335"/>
      <c r="D10" s="335"/>
      <c r="E10" s="268" t="s">
        <v>261</v>
      </c>
      <c r="F10" s="279"/>
      <c r="G10" s="260"/>
    </row>
    <row r="11" spans="1:11" s="80" customFormat="1" ht="20.100000000000001" customHeight="1" x14ac:dyDescent="0.25">
      <c r="A11" s="165"/>
      <c r="B11" s="335" t="s">
        <v>265</v>
      </c>
      <c r="C11" s="335"/>
      <c r="D11" s="335"/>
      <c r="E11" s="268" t="s">
        <v>264</v>
      </c>
      <c r="F11" s="280"/>
      <c r="G11" s="260"/>
    </row>
    <row r="12" spans="1:11" s="80" customFormat="1" ht="20.100000000000001" customHeight="1" x14ac:dyDescent="0.25">
      <c r="A12" s="165"/>
      <c r="B12" s="16" t="s">
        <v>269</v>
      </c>
      <c r="C12" s="16"/>
      <c r="D12" s="16"/>
      <c r="E12" s="269" t="s">
        <v>169</v>
      </c>
      <c r="F12" s="281"/>
      <c r="G12" s="264"/>
      <c r="H12" s="16"/>
      <c r="I12" s="16"/>
      <c r="J12" s="43"/>
      <c r="K12" s="43"/>
    </row>
    <row r="13" spans="1:11" s="80" customFormat="1" ht="20.100000000000001" customHeight="1" x14ac:dyDescent="0.25">
      <c r="A13" s="165"/>
      <c r="B13" s="16" t="s">
        <v>268</v>
      </c>
      <c r="C13" s="16"/>
      <c r="D13" s="16"/>
      <c r="E13" s="269" t="s">
        <v>174</v>
      </c>
      <c r="F13" s="281"/>
      <c r="G13" s="264"/>
      <c r="H13" s="16"/>
      <c r="I13" s="16"/>
      <c r="J13" s="43"/>
      <c r="K13" s="43"/>
    </row>
    <row r="14" spans="1:11" s="80" customFormat="1" ht="22.2" customHeight="1" x14ac:dyDescent="0.25">
      <c r="A14" s="165"/>
      <c r="B14" s="16" t="s">
        <v>62</v>
      </c>
      <c r="C14" s="16"/>
      <c r="D14" s="16"/>
      <c r="E14" s="270" t="s">
        <v>50</v>
      </c>
      <c r="F14" s="282"/>
      <c r="G14" s="50"/>
    </row>
    <row r="15" spans="1:11" s="80" customFormat="1" ht="18.75" customHeight="1" x14ac:dyDescent="0.25">
      <c r="A15" s="165"/>
      <c r="B15" s="16" t="s">
        <v>209</v>
      </c>
      <c r="C15" s="16"/>
      <c r="D15" s="16"/>
      <c r="E15" s="270">
        <v>28819</v>
      </c>
      <c r="F15" s="281"/>
      <c r="G15" s="50"/>
    </row>
    <row r="16" spans="1:11" s="80" customFormat="1" ht="20.100000000000001" customHeight="1" x14ac:dyDescent="0.25">
      <c r="A16" s="165"/>
      <c r="B16" s="16" t="s">
        <v>177</v>
      </c>
      <c r="C16" s="13"/>
      <c r="D16" s="16"/>
      <c r="E16" s="269" t="s">
        <v>171</v>
      </c>
      <c r="F16" s="283"/>
      <c r="G16" s="43"/>
    </row>
    <row r="17" spans="1:8" s="80" customFormat="1" ht="20.100000000000001" customHeight="1" x14ac:dyDescent="0.25">
      <c r="A17" s="165"/>
      <c r="B17" s="16" t="s">
        <v>272</v>
      </c>
      <c r="C17" s="13"/>
      <c r="D17" s="16"/>
      <c r="E17" s="269">
        <v>9811116835</v>
      </c>
      <c r="F17" s="283"/>
      <c r="G17" s="43"/>
    </row>
    <row r="18" spans="1:8" s="80" customFormat="1" ht="20.100000000000001" customHeight="1" x14ac:dyDescent="0.3">
      <c r="A18" s="165"/>
      <c r="B18" s="16" t="s">
        <v>273</v>
      </c>
      <c r="C18" s="13"/>
      <c r="D18" s="16"/>
      <c r="E18" s="269" t="s">
        <v>274</v>
      </c>
      <c r="F18" s="284"/>
      <c r="G18" s="265"/>
      <c r="H18" s="265"/>
    </row>
    <row r="19" spans="1:8" s="80" customFormat="1" ht="20.100000000000001" customHeight="1" x14ac:dyDescent="0.25">
      <c r="A19" s="165"/>
      <c r="B19" s="16" t="s">
        <v>84</v>
      </c>
      <c r="C19" s="16"/>
      <c r="D19" s="16"/>
      <c r="E19" s="270">
        <v>44635</v>
      </c>
      <c r="F19" s="285"/>
      <c r="G19" s="16"/>
    </row>
    <row r="20" spans="1:8" s="80" customFormat="1" ht="20.100000000000001" customHeight="1" x14ac:dyDescent="0.25">
      <c r="A20" s="239"/>
      <c r="B20" s="33" t="s">
        <v>85</v>
      </c>
      <c r="C20" s="33"/>
      <c r="D20" s="33"/>
      <c r="E20" s="272" t="s">
        <v>260</v>
      </c>
      <c r="F20" s="286"/>
      <c r="G20" s="16"/>
    </row>
    <row r="21" spans="1:8" s="80" customFormat="1" ht="20.100000000000001" customHeight="1" x14ac:dyDescent="0.3">
      <c r="A21" s="287"/>
      <c r="B21" s="336" t="s">
        <v>275</v>
      </c>
      <c r="C21" s="336"/>
      <c r="D21" s="336"/>
      <c r="E21" s="336"/>
      <c r="F21" s="288">
        <v>150000</v>
      </c>
      <c r="G21" s="123"/>
    </row>
    <row r="22" spans="1:8" s="80" customFormat="1" ht="20.100000000000001" customHeight="1" x14ac:dyDescent="0.3">
      <c r="A22" s="165"/>
      <c r="B22" s="337" t="s">
        <v>212</v>
      </c>
      <c r="C22" s="337"/>
      <c r="D22" s="337"/>
      <c r="E22" s="337"/>
      <c r="F22" s="278">
        <v>10500</v>
      </c>
      <c r="G22" s="123"/>
    </row>
    <row r="23" spans="1:8" s="80" customFormat="1" ht="20.100000000000001" customHeight="1" x14ac:dyDescent="0.3">
      <c r="A23" s="165"/>
      <c r="B23" s="337" t="s">
        <v>255</v>
      </c>
      <c r="C23" s="337"/>
      <c r="D23" s="337"/>
      <c r="E23" s="337"/>
      <c r="F23" s="278">
        <v>250000</v>
      </c>
      <c r="G23" s="123"/>
    </row>
    <row r="24" spans="1:8" s="80" customFormat="1" ht="20.100000000000001" customHeight="1" thickBot="1" x14ac:dyDescent="0.35">
      <c r="A24" s="222"/>
      <c r="B24" s="324" t="s">
        <v>270</v>
      </c>
      <c r="C24" s="324"/>
      <c r="D24" s="324"/>
      <c r="E24" s="324"/>
      <c r="F24" s="289">
        <v>100000</v>
      </c>
      <c r="G24" s="16"/>
    </row>
    <row r="25" spans="1:8" s="80" customFormat="1" ht="20.100000000000001" customHeight="1" x14ac:dyDescent="0.3">
      <c r="B25" s="325"/>
      <c r="C25" s="325"/>
      <c r="D25" s="325"/>
      <c r="E25" s="325"/>
      <c r="G25" s="16"/>
    </row>
    <row r="26" spans="1:8" s="80" customFormat="1" ht="20.100000000000001" customHeight="1" x14ac:dyDescent="0.25">
      <c r="B26" s="13"/>
      <c r="C26" s="16"/>
      <c r="D26" s="16"/>
      <c r="E26" s="16"/>
      <c r="F26" s="16"/>
      <c r="G26" s="16"/>
    </row>
    <row r="27" spans="1:8" s="80" customFormat="1" ht="20.100000000000001" customHeight="1" x14ac:dyDescent="0.25">
      <c r="B27" s="16"/>
      <c r="C27" s="16"/>
      <c r="D27" s="16"/>
      <c r="E27" s="16"/>
      <c r="F27" s="16"/>
      <c r="G27" s="16"/>
    </row>
    <row r="28" spans="1:8" s="80" customFormat="1" ht="20.100000000000001" customHeight="1" x14ac:dyDescent="0.25">
      <c r="B28" s="16"/>
      <c r="C28" s="16"/>
      <c r="D28" s="16"/>
      <c r="E28" s="16"/>
      <c r="F28" s="16"/>
      <c r="G28" s="16"/>
    </row>
    <row r="29" spans="1:8" s="80" customFormat="1" ht="20.100000000000001" customHeight="1" x14ac:dyDescent="0.25">
      <c r="B29" s="16"/>
      <c r="C29" s="16"/>
      <c r="D29" s="16"/>
      <c r="E29" s="16"/>
      <c r="F29" s="16"/>
      <c r="G29" s="16"/>
    </row>
    <row r="30" spans="1:8" s="80" customFormat="1" ht="20.100000000000001" customHeight="1" x14ac:dyDescent="0.25">
      <c r="B30" s="16"/>
      <c r="C30" s="16"/>
      <c r="D30" s="16"/>
      <c r="E30" s="16"/>
      <c r="F30" s="16"/>
      <c r="G30" s="16"/>
    </row>
    <row r="31" spans="1:8" s="80" customFormat="1" ht="20.100000000000001" customHeight="1" x14ac:dyDescent="0.25">
      <c r="B31" s="16"/>
      <c r="C31" s="16"/>
      <c r="D31" s="16"/>
      <c r="E31" s="16"/>
      <c r="F31" s="16"/>
      <c r="G31" s="16"/>
    </row>
    <row r="32" spans="1:8" s="80" customFormat="1" ht="20.100000000000001" customHeight="1" x14ac:dyDescent="0.25">
      <c r="B32" s="16"/>
      <c r="C32" s="16"/>
      <c r="D32" s="16"/>
      <c r="E32" s="16"/>
      <c r="F32" s="16"/>
      <c r="G32" s="16"/>
    </row>
    <row r="33" spans="2:7" s="80" customFormat="1" ht="20.100000000000001" customHeight="1" x14ac:dyDescent="0.25">
      <c r="B33" s="16"/>
      <c r="C33" s="16"/>
      <c r="D33" s="16"/>
      <c r="E33" s="16"/>
      <c r="F33" s="16"/>
      <c r="G33" s="16"/>
    </row>
    <row r="34" spans="2:7" s="80" customFormat="1" ht="20.100000000000001" customHeight="1" x14ac:dyDescent="0.25">
      <c r="B34" s="16"/>
      <c r="C34" s="16"/>
      <c r="D34" s="16"/>
      <c r="E34" s="16"/>
      <c r="F34" s="16"/>
      <c r="G34" s="16"/>
    </row>
    <row r="35" spans="2:7" s="80" customFormat="1" ht="20.100000000000001" customHeight="1" x14ac:dyDescent="0.25">
      <c r="B35" s="16"/>
      <c r="C35" s="16"/>
      <c r="D35" s="16"/>
      <c r="E35" s="16"/>
      <c r="F35" s="16"/>
      <c r="G35" s="16"/>
    </row>
    <row r="36" spans="2:7" s="80" customFormat="1" ht="20.100000000000001" customHeight="1" x14ac:dyDescent="0.25">
      <c r="B36" s="16"/>
      <c r="C36" s="16"/>
      <c r="D36" s="16"/>
      <c r="E36" s="16"/>
      <c r="F36" s="16"/>
      <c r="G36" s="16"/>
    </row>
    <row r="37" spans="2:7" s="80" customFormat="1" ht="20.100000000000001" customHeight="1" x14ac:dyDescent="0.25">
      <c r="B37" s="16"/>
      <c r="C37" s="16"/>
      <c r="D37" s="16"/>
      <c r="E37" s="16"/>
      <c r="F37" s="16"/>
      <c r="G37" s="16"/>
    </row>
    <row r="38" spans="2:7" s="80" customFormat="1" ht="20.100000000000001" customHeight="1" x14ac:dyDescent="0.25">
      <c r="B38" s="16"/>
      <c r="C38" s="16"/>
      <c r="D38" s="16"/>
      <c r="E38" s="16"/>
      <c r="F38" s="16"/>
      <c r="G38" s="16"/>
    </row>
    <row r="39" spans="2:7" s="80" customFormat="1" ht="20.100000000000001" customHeight="1" x14ac:dyDescent="0.25">
      <c r="B39" s="16"/>
      <c r="C39" s="16"/>
      <c r="D39" s="16"/>
      <c r="E39" s="16"/>
      <c r="F39" s="16"/>
      <c r="G39" s="16"/>
    </row>
    <row r="40" spans="2:7" s="80" customFormat="1" ht="20.100000000000001" customHeight="1" x14ac:dyDescent="0.25">
      <c r="B40" s="16"/>
      <c r="C40" s="16"/>
      <c r="D40" s="16"/>
      <c r="E40" s="16"/>
      <c r="F40" s="16"/>
      <c r="G40" s="16"/>
    </row>
    <row r="41" spans="2:7" s="80" customFormat="1" ht="20.100000000000001" customHeight="1" x14ac:dyDescent="0.25">
      <c r="B41" s="16"/>
      <c r="C41" s="16"/>
      <c r="D41" s="16"/>
      <c r="E41" s="16"/>
      <c r="F41" s="16"/>
      <c r="G41" s="16"/>
    </row>
    <row r="42" spans="2:7" s="80" customFormat="1" ht="20.100000000000001" customHeight="1" x14ac:dyDescent="0.25">
      <c r="B42" s="16"/>
      <c r="C42" s="16"/>
      <c r="D42" s="16"/>
      <c r="E42" s="16"/>
      <c r="F42" s="16"/>
      <c r="G42" s="16"/>
    </row>
    <row r="43" spans="2:7" s="80" customFormat="1" ht="20.100000000000001" customHeight="1" x14ac:dyDescent="0.25">
      <c r="B43" s="16"/>
      <c r="C43" s="16"/>
      <c r="D43" s="16"/>
      <c r="E43" s="16"/>
      <c r="F43" s="16"/>
      <c r="G43" s="16"/>
    </row>
    <row r="44" spans="2:7" s="80" customFormat="1" ht="20.100000000000001" customHeight="1" x14ac:dyDescent="0.25">
      <c r="B44" s="16"/>
      <c r="C44" s="16"/>
      <c r="D44" s="16"/>
      <c r="E44" s="16"/>
      <c r="F44" s="16"/>
      <c r="G44" s="16"/>
    </row>
    <row r="45" spans="2:7" s="80" customFormat="1" ht="20.100000000000001" customHeight="1" x14ac:dyDescent="0.25">
      <c r="B45" s="16"/>
      <c r="C45" s="16"/>
      <c r="D45" s="16"/>
      <c r="E45" s="16"/>
      <c r="F45" s="16"/>
      <c r="G45" s="16"/>
    </row>
    <row r="46" spans="2:7" s="80" customFormat="1" ht="20.100000000000001" customHeight="1" x14ac:dyDescent="0.25">
      <c r="B46" s="16"/>
      <c r="C46" s="16"/>
      <c r="D46" s="16"/>
      <c r="E46" s="16"/>
      <c r="F46" s="16"/>
      <c r="G46" s="16"/>
    </row>
    <row r="47" spans="2:7" s="80" customFormat="1" ht="20.100000000000001" customHeight="1" x14ac:dyDescent="0.25">
      <c r="B47" s="16"/>
      <c r="C47" s="16"/>
      <c r="D47" s="16"/>
      <c r="E47" s="16"/>
      <c r="F47" s="16"/>
      <c r="G47" s="16"/>
    </row>
    <row r="48" spans="2:7" s="80" customFormat="1" ht="20.100000000000001" customHeight="1" x14ac:dyDescent="0.25">
      <c r="B48" s="16"/>
      <c r="C48" s="16"/>
      <c r="D48" s="16"/>
      <c r="E48" s="16"/>
      <c r="F48" s="16"/>
      <c r="G48" s="16"/>
    </row>
    <row r="49" spans="2:7" s="80" customFormat="1" ht="20.100000000000001" customHeight="1" x14ac:dyDescent="0.25">
      <c r="B49" s="16"/>
      <c r="C49" s="16"/>
      <c r="D49" s="16"/>
      <c r="E49" s="16"/>
      <c r="F49" s="16"/>
      <c r="G49" s="16"/>
    </row>
    <row r="50" spans="2:7" s="80" customFormat="1" ht="20.100000000000001" customHeight="1" x14ac:dyDescent="0.25">
      <c r="B50" s="16"/>
      <c r="C50" s="16"/>
      <c r="D50" s="16"/>
      <c r="E50" s="16"/>
      <c r="F50" s="16"/>
      <c r="G50" s="16"/>
    </row>
    <row r="51" spans="2:7" s="80" customFormat="1" ht="20.100000000000001" customHeight="1" x14ac:dyDescent="0.25">
      <c r="B51" s="16"/>
      <c r="C51" s="16"/>
      <c r="D51" s="16"/>
      <c r="E51" s="16"/>
      <c r="F51" s="16"/>
      <c r="G51" s="16"/>
    </row>
    <row r="52" spans="2:7" s="80" customFormat="1" ht="20.100000000000001" customHeight="1" x14ac:dyDescent="0.25">
      <c r="B52" s="16"/>
      <c r="C52" s="16"/>
      <c r="D52" s="16"/>
      <c r="E52" s="16"/>
      <c r="F52" s="16"/>
      <c r="G52" s="16"/>
    </row>
    <row r="53" spans="2:7" s="80" customFormat="1" ht="20.100000000000001" customHeight="1" x14ac:dyDescent="0.25">
      <c r="B53" s="16"/>
      <c r="C53" s="16"/>
      <c r="D53" s="16"/>
      <c r="E53" s="16"/>
      <c r="F53" s="16"/>
      <c r="G53" s="16"/>
    </row>
    <row r="54" spans="2:7" s="80" customFormat="1" ht="20.100000000000001" customHeight="1" x14ac:dyDescent="0.25">
      <c r="B54" s="16"/>
      <c r="C54" s="16"/>
      <c r="D54" s="16"/>
      <c r="E54" s="16"/>
      <c r="F54" s="16"/>
      <c r="G54" s="16"/>
    </row>
  </sheetData>
  <mergeCells count="13">
    <mergeCell ref="B24:E24"/>
    <mergeCell ref="B25:E25"/>
    <mergeCell ref="E8:F8"/>
    <mergeCell ref="A1:F1"/>
    <mergeCell ref="A2:F2"/>
    <mergeCell ref="B9:D9"/>
    <mergeCell ref="B10:D10"/>
    <mergeCell ref="B11:D11"/>
    <mergeCell ref="B21:E21"/>
    <mergeCell ref="B22:E22"/>
    <mergeCell ref="B23:E23"/>
    <mergeCell ref="A3:F3"/>
    <mergeCell ref="B4:F4"/>
  </mergeCells>
  <printOptions horizontalCentered="1"/>
  <pageMargins left="0.19685039370078741" right="0.19685039370078741" top="0.19685039370078741" bottom="0.19685039370078741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29"/>
  <sheetViews>
    <sheetView topLeftCell="A19" zoomScale="105" zoomScaleNormal="105" workbookViewId="0">
      <selection activeCell="I20" sqref="I20"/>
    </sheetView>
  </sheetViews>
  <sheetFormatPr defaultColWidth="15.6640625" defaultRowHeight="20.100000000000001" customHeight="1" x14ac:dyDescent="0.25"/>
  <cols>
    <col min="1" max="1" width="16.44140625" style="7" customWidth="1"/>
    <col min="2" max="2" width="38.88671875" style="7" customWidth="1"/>
    <col min="3" max="3" width="18.33203125" style="149" customWidth="1"/>
    <col min="4" max="4" width="16.109375" style="149" customWidth="1"/>
    <col min="5" max="5" width="17.5546875" style="149" customWidth="1"/>
    <col min="6" max="6" width="6.77734375" style="7" customWidth="1"/>
    <col min="7" max="7" width="35" style="7" customWidth="1"/>
    <col min="8" max="8" width="15.44140625" style="7" customWidth="1"/>
    <col min="9" max="9" width="15.77734375" style="7" customWidth="1"/>
    <col min="10" max="16384" width="15.6640625" style="7"/>
  </cols>
  <sheetData>
    <row r="1" spans="1:9" ht="20.100000000000001" customHeight="1" x14ac:dyDescent="0.45">
      <c r="A1" s="308" t="s">
        <v>246</v>
      </c>
      <c r="B1" s="318"/>
      <c r="C1" s="318"/>
      <c r="D1" s="318"/>
      <c r="E1" s="318"/>
      <c r="F1" s="217"/>
      <c r="G1" s="217"/>
    </row>
    <row r="2" spans="1:9" ht="20.100000000000001" customHeight="1" x14ac:dyDescent="0.45">
      <c r="A2" s="308" t="s">
        <v>247</v>
      </c>
      <c r="B2" s="318"/>
      <c r="C2" s="318"/>
      <c r="D2" s="318"/>
      <c r="E2" s="318"/>
      <c r="F2" s="217"/>
      <c r="G2" s="217"/>
    </row>
    <row r="3" spans="1:9" ht="20.100000000000001" customHeight="1" thickBot="1" x14ac:dyDescent="0.3">
      <c r="A3" s="319" t="s">
        <v>248</v>
      </c>
      <c r="B3" s="320"/>
      <c r="C3" s="320"/>
      <c r="D3" s="320"/>
      <c r="E3" s="320"/>
      <c r="F3" s="216"/>
      <c r="G3" s="216"/>
    </row>
    <row r="4" spans="1:9" s="5" customFormat="1" ht="23.25" customHeight="1" thickBot="1" x14ac:dyDescent="0.3">
      <c r="A4" s="321" t="s">
        <v>249</v>
      </c>
      <c r="B4" s="322"/>
      <c r="C4" s="322"/>
      <c r="D4" s="322"/>
      <c r="E4" s="323"/>
      <c r="F4" s="216"/>
      <c r="G4" s="224" t="s">
        <v>207</v>
      </c>
      <c r="H4" s="225"/>
      <c r="I4" s="249" t="s">
        <v>208</v>
      </c>
    </row>
    <row r="5" spans="1:9" ht="27.75" customHeight="1" x14ac:dyDescent="0.25">
      <c r="A5" s="163" t="s">
        <v>10</v>
      </c>
      <c r="B5" s="80"/>
      <c r="C5" s="141"/>
      <c r="D5" s="141"/>
      <c r="E5" s="190"/>
      <c r="G5" s="235" t="s">
        <v>195</v>
      </c>
      <c r="H5" s="236"/>
      <c r="I5" s="226"/>
    </row>
    <row r="6" spans="1:9" s="4" customFormat="1" ht="18.899999999999999" customHeight="1" x14ac:dyDescent="0.3">
      <c r="A6" s="164"/>
      <c r="B6" s="80" t="s">
        <v>11</v>
      </c>
      <c r="C6" s="118" t="s">
        <v>12</v>
      </c>
      <c r="D6" s="59">
        <f>+'504'!G37</f>
        <v>1000000</v>
      </c>
      <c r="E6" s="191"/>
      <c r="G6" s="220" t="s">
        <v>211</v>
      </c>
      <c r="H6" s="219">
        <f>ROUND(E14*50%,0)</f>
        <v>1566433</v>
      </c>
      <c r="I6" s="227"/>
    </row>
    <row r="7" spans="1:9" s="4" customFormat="1" ht="18.899999999999999" customHeight="1" x14ac:dyDescent="0.25">
      <c r="A7" s="164"/>
      <c r="B7" s="80" t="s">
        <v>13</v>
      </c>
      <c r="C7" s="141"/>
      <c r="D7" s="21">
        <f>+'504'!G38*-1</f>
        <v>-50000</v>
      </c>
      <c r="E7" s="191"/>
      <c r="G7" s="220" t="s">
        <v>196</v>
      </c>
      <c r="H7" s="80"/>
      <c r="I7" s="227"/>
    </row>
    <row r="8" spans="1:9" s="4" customFormat="1" ht="18.899999999999999" customHeight="1" x14ac:dyDescent="0.25">
      <c r="A8" s="165"/>
      <c r="B8" s="80"/>
      <c r="C8" s="118" t="s">
        <v>14</v>
      </c>
      <c r="D8" s="59">
        <f>D6+D7</f>
        <v>950000</v>
      </c>
      <c r="E8" s="191"/>
      <c r="G8" s="243" t="s">
        <v>197</v>
      </c>
      <c r="H8" s="59">
        <f>ROUND(+C68/3,0)</f>
        <v>1641433</v>
      </c>
      <c r="I8" s="227"/>
    </row>
    <row r="9" spans="1:9" s="4" customFormat="1" ht="18.899999999999999" customHeight="1" x14ac:dyDescent="0.25">
      <c r="A9" s="166"/>
      <c r="B9" s="80" t="s">
        <v>51</v>
      </c>
      <c r="C9" s="167">
        <f>ROUND(D8*0.3,0)</f>
        <v>285000</v>
      </c>
      <c r="D9" s="59"/>
      <c r="E9" s="191"/>
      <c r="G9" s="220" t="s">
        <v>198</v>
      </c>
      <c r="H9" s="84">
        <f>+'504'!D107*12%</f>
        <v>192000</v>
      </c>
      <c r="I9" s="228">
        <f>H8+H9</f>
        <v>1833433</v>
      </c>
    </row>
    <row r="10" spans="1:9" s="4" customFormat="1" ht="18.899999999999999" customHeight="1" x14ac:dyDescent="0.25">
      <c r="A10" s="165"/>
      <c r="B10" s="80" t="s">
        <v>15</v>
      </c>
      <c r="C10" s="26">
        <f>+'504'!G39</f>
        <v>950000</v>
      </c>
      <c r="D10" s="21">
        <f>(C9+C10)*-1</f>
        <v>-1235000</v>
      </c>
      <c r="E10" s="191"/>
      <c r="G10" s="165"/>
      <c r="H10" s="80"/>
      <c r="I10" s="227"/>
    </row>
    <row r="11" spans="1:9" s="4" customFormat="1" ht="18.899999999999999" customHeight="1" x14ac:dyDescent="0.25">
      <c r="A11" s="165"/>
      <c r="B11" s="248" t="s">
        <v>231</v>
      </c>
      <c r="C11" s="80"/>
      <c r="D11" s="247">
        <f>D10+D8+200000</f>
        <v>-85000</v>
      </c>
      <c r="E11" s="192">
        <f>D8+D10+85000</f>
        <v>-200000</v>
      </c>
      <c r="G11" s="218" t="s">
        <v>18</v>
      </c>
      <c r="H11" s="80"/>
      <c r="I11" s="227"/>
    </row>
    <row r="12" spans="1:9" s="4" customFormat="1" ht="18.899999999999999" customHeight="1" x14ac:dyDescent="0.25">
      <c r="A12" s="163" t="s">
        <v>19</v>
      </c>
      <c r="B12" s="80"/>
      <c r="C12" s="141"/>
      <c r="D12" s="59"/>
      <c r="E12" s="191"/>
      <c r="G12" s="220" t="s">
        <v>199</v>
      </c>
      <c r="H12" s="59">
        <f>+'504'!G117</f>
        <v>10500</v>
      </c>
      <c r="I12" s="227"/>
    </row>
    <row r="13" spans="1:9" s="4" customFormat="1" ht="18.899999999999999" customHeight="1" x14ac:dyDescent="0.25">
      <c r="A13" s="168"/>
      <c r="B13" s="80" t="s">
        <v>61</v>
      </c>
      <c r="C13" s="141"/>
      <c r="D13" s="59">
        <f>+C65</f>
        <v>8057163</v>
      </c>
      <c r="E13" s="191"/>
      <c r="G13" s="240" t="s">
        <v>200</v>
      </c>
      <c r="H13" s="21">
        <f>+'504'!G96</f>
        <v>51000</v>
      </c>
      <c r="I13" s="229">
        <f>H12+H13</f>
        <v>61500</v>
      </c>
    </row>
    <row r="14" spans="1:9" s="4" customFormat="1" ht="39" customHeight="1" x14ac:dyDescent="0.25">
      <c r="A14" s="165"/>
      <c r="B14" s="317" t="s">
        <v>65</v>
      </c>
      <c r="C14" s="317"/>
      <c r="D14" s="21">
        <f>+C68*-1</f>
        <v>-4924297.8</v>
      </c>
      <c r="E14" s="192">
        <f>D13+D14</f>
        <v>3132865.2</v>
      </c>
      <c r="G14" s="165"/>
      <c r="H14" s="221" t="s">
        <v>201</v>
      </c>
      <c r="I14" s="230">
        <f>SUM(I9:I13)</f>
        <v>1894933</v>
      </c>
    </row>
    <row r="15" spans="1:9" s="4" customFormat="1" ht="18.899999999999999" customHeight="1" x14ac:dyDescent="0.25">
      <c r="A15" s="163" t="s">
        <v>16</v>
      </c>
      <c r="B15" s="80"/>
      <c r="C15" s="80"/>
      <c r="D15" s="59"/>
      <c r="E15" s="191"/>
      <c r="G15" s="165" t="s">
        <v>202</v>
      </c>
      <c r="H15" s="80"/>
      <c r="I15" s="227"/>
    </row>
    <row r="16" spans="1:9" s="4" customFormat="1" ht="18.899999999999999" customHeight="1" x14ac:dyDescent="0.3">
      <c r="A16" s="169" t="s">
        <v>179</v>
      </c>
      <c r="B16" s="80" t="s">
        <v>163</v>
      </c>
      <c r="C16" s="170" t="s">
        <v>178</v>
      </c>
      <c r="D16" s="59"/>
      <c r="E16" s="191"/>
      <c r="G16" s="220" t="s">
        <v>203</v>
      </c>
      <c r="H16" s="59">
        <f>+'504'!G116</f>
        <v>150000</v>
      </c>
      <c r="I16" s="227"/>
    </row>
    <row r="17" spans="1:9" s="4" customFormat="1" ht="18.899999999999999" customHeight="1" x14ac:dyDescent="0.25">
      <c r="A17" s="163"/>
      <c r="B17" s="171" t="s">
        <v>164</v>
      </c>
      <c r="C17" s="80"/>
      <c r="D17" s="59">
        <f>+'504'!G101*-1</f>
        <v>250000</v>
      </c>
      <c r="E17" s="191"/>
      <c r="G17" s="240" t="s">
        <v>204</v>
      </c>
      <c r="H17" s="84">
        <v>10000</v>
      </c>
      <c r="I17" s="229">
        <f>(H16+H17)*-1</f>
        <v>-160000</v>
      </c>
    </row>
    <row r="18" spans="1:9" s="4" customFormat="1" ht="18.899999999999999" customHeight="1" x14ac:dyDescent="0.25">
      <c r="A18" s="163"/>
      <c r="B18" s="171" t="s">
        <v>165</v>
      </c>
      <c r="C18" s="172" t="s">
        <v>166</v>
      </c>
      <c r="D18" s="21">
        <f>(+'504'!G99+'504'!G100)*-1</f>
        <v>-240000</v>
      </c>
      <c r="E18" s="192">
        <f>D17+D18</f>
        <v>10000</v>
      </c>
      <c r="F18" s="151"/>
      <c r="G18" s="165"/>
      <c r="H18" s="221" t="s">
        <v>205</v>
      </c>
      <c r="I18" s="228">
        <f>I14+I17</f>
        <v>1734933</v>
      </c>
    </row>
    <row r="19" spans="1:9" s="4" customFormat="1" ht="18.899999999999999" customHeight="1" x14ac:dyDescent="0.25">
      <c r="A19" s="169" t="s">
        <v>167</v>
      </c>
      <c r="B19" s="80" t="s">
        <v>180</v>
      </c>
      <c r="C19" s="30">
        <f>+'504'!F42</f>
        <v>44166</v>
      </c>
      <c r="D19" s="59"/>
      <c r="E19" s="191"/>
      <c r="G19" s="165" t="s">
        <v>38</v>
      </c>
      <c r="H19" s="80"/>
      <c r="I19" s="231">
        <f>ROUND(12500+100000+(I18-1000000)*30%,0)</f>
        <v>332980</v>
      </c>
    </row>
    <row r="20" spans="1:9" s="4" customFormat="1" ht="18.899999999999999" customHeight="1" x14ac:dyDescent="0.25">
      <c r="A20" s="173">
        <v>301</v>
      </c>
      <c r="B20" s="171" t="s">
        <v>164</v>
      </c>
      <c r="C20" s="80"/>
      <c r="D20" s="59">
        <f>+'504'!G42</f>
        <v>4000000</v>
      </c>
      <c r="E20" s="191"/>
      <c r="G20" s="165" t="s">
        <v>206</v>
      </c>
      <c r="H20" s="80"/>
      <c r="I20" s="238">
        <f>ROUND(I19*0.04,0)</f>
        <v>13319</v>
      </c>
    </row>
    <row r="21" spans="1:9" s="4" customFormat="1" ht="18.899999999999999" customHeight="1" x14ac:dyDescent="0.25">
      <c r="A21" s="174"/>
      <c r="B21" s="171" t="s">
        <v>17</v>
      </c>
      <c r="C21" s="172"/>
      <c r="D21" s="59">
        <f>+'504'!G44*-1</f>
        <v>-40000</v>
      </c>
      <c r="E21" s="191"/>
      <c r="G21" s="237" t="s">
        <v>30</v>
      </c>
      <c r="H21" s="16"/>
      <c r="I21" s="234">
        <f>I19+I20</f>
        <v>346299</v>
      </c>
    </row>
    <row r="22" spans="1:9" s="4" customFormat="1" ht="18.899999999999999" customHeight="1" x14ac:dyDescent="0.25">
      <c r="A22" s="174">
        <v>220</v>
      </c>
      <c r="B22" s="171" t="s">
        <v>57</v>
      </c>
      <c r="C22" s="30">
        <f>+'504'!F45</f>
        <v>41623</v>
      </c>
      <c r="D22" s="21">
        <f>ROUND(('504'!G45*A20/A22)*-1,0)</f>
        <v>-1094545</v>
      </c>
      <c r="E22" s="191"/>
      <c r="G22" s="239" t="s">
        <v>237</v>
      </c>
      <c r="H22" s="233"/>
      <c r="I22" s="227"/>
    </row>
    <row r="23" spans="1:9" s="4" customFormat="1" ht="18.899999999999999" customHeight="1" thickBot="1" x14ac:dyDescent="0.3">
      <c r="A23" s="175"/>
      <c r="B23" s="80"/>
      <c r="C23" s="141"/>
      <c r="D23" s="59">
        <f>SUM(D20:D22)</f>
        <v>2865455</v>
      </c>
      <c r="E23" s="191"/>
      <c r="G23" s="241"/>
      <c r="H23" s="242"/>
      <c r="I23" s="250">
        <f>SUM(I21:I22)</f>
        <v>346299</v>
      </c>
    </row>
    <row r="24" spans="1:9" s="4" customFormat="1" ht="21" customHeight="1" thickTop="1" x14ac:dyDescent="0.25">
      <c r="A24" s="176">
        <f>+'504'!G46</f>
        <v>4000000</v>
      </c>
      <c r="B24" s="80" t="s">
        <v>245</v>
      </c>
      <c r="C24" s="30">
        <f>+'504'!F46</f>
        <v>44276</v>
      </c>
      <c r="D24" s="21">
        <v>0</v>
      </c>
      <c r="E24" s="192">
        <f>D23-D24</f>
        <v>2865455</v>
      </c>
      <c r="G24" s="165" t="s">
        <v>235</v>
      </c>
      <c r="H24" s="80"/>
      <c r="I24" s="227">
        <v>350000</v>
      </c>
    </row>
    <row r="25" spans="1:9" s="4" customFormat="1" ht="20.100000000000001" customHeight="1" thickBot="1" x14ac:dyDescent="0.3">
      <c r="A25" s="163" t="s">
        <v>18</v>
      </c>
      <c r="B25" s="80"/>
      <c r="C25" s="141"/>
      <c r="D25" s="141"/>
      <c r="E25" s="190"/>
      <c r="G25" s="222" t="s">
        <v>236</v>
      </c>
      <c r="H25" s="223"/>
      <c r="I25" s="232">
        <f>I23-I24</f>
        <v>-3701</v>
      </c>
    </row>
    <row r="26" spans="1:9" s="4" customFormat="1" ht="20.100000000000001" customHeight="1" x14ac:dyDescent="0.25">
      <c r="A26" s="165"/>
      <c r="B26" s="80" t="s">
        <v>232</v>
      </c>
      <c r="C26" s="177"/>
      <c r="D26" s="141">
        <v>125000</v>
      </c>
      <c r="E26" s="190"/>
    </row>
    <row r="27" spans="1:9" s="4" customFormat="1" ht="20.100000000000001" customHeight="1" x14ac:dyDescent="0.25">
      <c r="A27" s="165"/>
      <c r="B27" s="80" t="s">
        <v>233</v>
      </c>
      <c r="C27" s="141"/>
      <c r="D27" s="204">
        <v>25000</v>
      </c>
      <c r="E27" s="192">
        <f>+D26+D27</f>
        <v>150000</v>
      </c>
    </row>
    <row r="28" spans="1:9" s="4" customFormat="1" ht="14.25" customHeight="1" x14ac:dyDescent="0.25">
      <c r="A28" s="165"/>
      <c r="B28" s="80"/>
      <c r="C28" s="80"/>
      <c r="D28" s="80"/>
      <c r="E28" s="193"/>
    </row>
    <row r="29" spans="1:9" s="4" customFormat="1" ht="20.100000000000001" customHeight="1" x14ac:dyDescent="0.25">
      <c r="A29" s="178"/>
      <c r="B29" s="179" t="s">
        <v>95</v>
      </c>
      <c r="D29" s="196" t="s">
        <v>94</v>
      </c>
      <c r="E29" s="192">
        <f>SUM(E5:E28)</f>
        <v>5958320.2000000002</v>
      </c>
    </row>
    <row r="30" spans="1:9" s="4" customFormat="1" ht="20.100000000000001" customHeight="1" x14ac:dyDescent="0.25">
      <c r="A30" s="178"/>
      <c r="B30" s="80" t="s">
        <v>97</v>
      </c>
      <c r="C30" s="59">
        <f>+'504'!D76</f>
        <v>40000</v>
      </c>
      <c r="D30" s="59"/>
      <c r="E30" s="191"/>
    </row>
    <row r="31" spans="1:9" s="4" customFormat="1" ht="20.100000000000001" customHeight="1" x14ac:dyDescent="0.25">
      <c r="A31" s="178"/>
      <c r="B31" s="80" t="s">
        <v>168</v>
      </c>
      <c r="C31" s="21">
        <f>+'504'!G95</f>
        <v>100000</v>
      </c>
      <c r="D31" s="59"/>
      <c r="E31" s="194">
        <f>(C30+C31)*-1</f>
        <v>-140000</v>
      </c>
    </row>
    <row r="32" spans="1:9" s="4" customFormat="1" ht="20.100000000000001" customHeight="1" thickBot="1" x14ac:dyDescent="0.3">
      <c r="A32" s="178"/>
      <c r="B32" s="80" t="s">
        <v>252</v>
      </c>
      <c r="C32" s="80"/>
      <c r="D32" s="196" t="s">
        <v>252</v>
      </c>
      <c r="E32" s="244">
        <f>E29+E31</f>
        <v>5818320.2000000002</v>
      </c>
    </row>
    <row r="33" spans="1:5" s="4" customFormat="1" ht="20.100000000000001" customHeight="1" thickTop="1" x14ac:dyDescent="0.25">
      <c r="A33" s="180"/>
      <c r="B33" s="80"/>
      <c r="C33" s="80"/>
      <c r="D33" s="80"/>
      <c r="E33" s="195"/>
    </row>
    <row r="34" spans="1:5" s="4" customFormat="1" ht="20.100000000000001" customHeight="1" x14ac:dyDescent="0.25">
      <c r="A34" s="181">
        <f>E32-A35</f>
        <v>2952865.2</v>
      </c>
      <c r="B34" s="182" t="s">
        <v>29</v>
      </c>
      <c r="C34" s="183">
        <v>0.3</v>
      </c>
      <c r="D34" s="59">
        <f>ROUND(A34*C34,0)</f>
        <v>885860</v>
      </c>
      <c r="E34" s="191"/>
    </row>
    <row r="35" spans="1:5" s="4" customFormat="1" ht="20.100000000000001" customHeight="1" x14ac:dyDescent="0.25">
      <c r="A35" s="181">
        <f>+E24</f>
        <v>2865455</v>
      </c>
      <c r="B35" s="182" t="s">
        <v>103</v>
      </c>
      <c r="C35" s="183">
        <v>0.2</v>
      </c>
      <c r="D35" s="26">
        <f>ROUND(E24*C35,0)</f>
        <v>573091</v>
      </c>
      <c r="E35" s="191"/>
    </row>
    <row r="36" spans="1:5" s="4" customFormat="1" ht="20.100000000000001" customHeight="1" x14ac:dyDescent="0.25">
      <c r="A36" s="165"/>
      <c r="B36" s="182"/>
      <c r="C36" s="141"/>
      <c r="D36" s="59">
        <f>SUM(D34:D35)</f>
        <v>1458951</v>
      </c>
      <c r="E36" s="191"/>
    </row>
    <row r="37" spans="1:5" s="4" customFormat="1" ht="20.100000000000001" customHeight="1" x14ac:dyDescent="0.25">
      <c r="A37" s="180"/>
      <c r="B37" s="184" t="s">
        <v>106</v>
      </c>
      <c r="C37" s="80"/>
      <c r="D37" s="59"/>
      <c r="E37" s="191"/>
    </row>
    <row r="38" spans="1:5" s="4" customFormat="1" ht="20.100000000000001" customHeight="1" x14ac:dyDescent="0.25">
      <c r="A38" s="165"/>
      <c r="B38" s="185" t="s">
        <v>43</v>
      </c>
      <c r="C38" s="183">
        <v>0.04</v>
      </c>
      <c r="D38" s="21">
        <f>ROUND(D36*C38,0)</f>
        <v>58358</v>
      </c>
      <c r="E38" s="191"/>
    </row>
    <row r="39" spans="1:5" s="4" customFormat="1" ht="20.100000000000001" customHeight="1" x14ac:dyDescent="0.25">
      <c r="A39" s="180"/>
      <c r="C39" s="183"/>
      <c r="D39" s="196" t="s">
        <v>30</v>
      </c>
      <c r="E39" s="192">
        <f>+D36+D38+D37</f>
        <v>1517309</v>
      </c>
    </row>
    <row r="40" spans="1:5" s="4" customFormat="1" ht="20.100000000000001" customHeight="1" x14ac:dyDescent="0.25">
      <c r="A40" s="180"/>
      <c r="B40" s="80" t="s">
        <v>31</v>
      </c>
      <c r="C40" s="80"/>
      <c r="D40" s="59">
        <v>100000</v>
      </c>
      <c r="E40" s="191"/>
    </row>
    <row r="41" spans="1:5" s="4" customFormat="1" ht="20.25" customHeight="1" x14ac:dyDescent="0.25">
      <c r="A41" s="165"/>
      <c r="B41" s="80" t="s">
        <v>32</v>
      </c>
      <c r="C41" s="80"/>
      <c r="D41" s="21">
        <f>+'504'!G51+'504'!G52</f>
        <v>1420000</v>
      </c>
      <c r="E41" s="194">
        <f>(D40+D41)*-1</f>
        <v>-1520000</v>
      </c>
    </row>
    <row r="42" spans="1:5" s="4" customFormat="1" ht="19.5" customHeight="1" x14ac:dyDescent="0.25">
      <c r="A42" s="186"/>
      <c r="B42" s="115"/>
      <c r="C42" s="80"/>
      <c r="D42" s="196" t="s">
        <v>108</v>
      </c>
      <c r="E42" s="191">
        <f>E39+E41</f>
        <v>-2691</v>
      </c>
    </row>
    <row r="43" spans="1:5" s="4" customFormat="1" ht="17.399999999999999" customHeight="1" x14ac:dyDescent="0.25">
      <c r="A43" s="178"/>
      <c r="B43" s="80" t="s">
        <v>111</v>
      </c>
      <c r="C43" s="80"/>
      <c r="D43" s="59"/>
      <c r="E43" s="191"/>
    </row>
    <row r="44" spans="1:5" s="4" customFormat="1" ht="17.399999999999999" customHeight="1" thickBot="1" x14ac:dyDescent="0.3">
      <c r="A44" s="187"/>
      <c r="B44" s="188" t="s">
        <v>108</v>
      </c>
      <c r="C44" s="189"/>
      <c r="D44" s="197" t="s">
        <v>33</v>
      </c>
      <c r="E44" s="244">
        <f>+E42+1</f>
        <v>-2690</v>
      </c>
    </row>
    <row r="45" spans="1:5" s="4" customFormat="1" ht="17.399999999999999" customHeight="1" thickTop="1" x14ac:dyDescent="0.25">
      <c r="A45" s="1"/>
    </row>
    <row r="46" spans="1:5" s="4" customFormat="1" ht="17.399999999999999" customHeight="1" x14ac:dyDescent="0.25">
      <c r="A46" s="1"/>
      <c r="B46" s="245" t="s">
        <v>191</v>
      </c>
      <c r="C46" s="3" t="s">
        <v>118</v>
      </c>
      <c r="E46" s="2"/>
    </row>
    <row r="47" spans="1:5" s="4" customFormat="1" ht="17.399999999999999" customHeight="1" x14ac:dyDescent="0.25">
      <c r="A47" s="1"/>
      <c r="C47" s="83">
        <v>0.15</v>
      </c>
      <c r="D47" s="3"/>
      <c r="E47" s="2"/>
    </row>
    <row r="48" spans="1:5" s="4" customFormat="1" ht="17.399999999999999" customHeight="1" x14ac:dyDescent="0.25">
      <c r="A48" s="3"/>
      <c r="B48" s="4" t="s">
        <v>120</v>
      </c>
      <c r="C48" s="14">
        <f>(+'504'!F99+'504'!F100+'504'!F101)*C47</f>
        <v>188100</v>
      </c>
      <c r="D48" s="2"/>
      <c r="E48" s="2"/>
    </row>
    <row r="49" spans="1:5" s="4" customFormat="1" ht="17.399999999999999" customHeight="1" x14ac:dyDescent="0.25">
      <c r="A49" s="3"/>
      <c r="B49" s="4" t="s">
        <v>121</v>
      </c>
      <c r="C49" s="14">
        <f>(+'504'!F102)*C47/2</f>
        <v>9900</v>
      </c>
      <c r="D49" s="2"/>
      <c r="E49" s="2"/>
    </row>
    <row r="50" spans="1:5" s="4" customFormat="1" ht="17.399999999999999" customHeight="1" x14ac:dyDescent="0.25">
      <c r="A50" s="3"/>
      <c r="B50" s="4" t="s">
        <v>122</v>
      </c>
      <c r="C50" s="14">
        <f>'504'!F100*20%</f>
        <v>44000</v>
      </c>
      <c r="D50" s="2"/>
      <c r="E50" s="2"/>
    </row>
    <row r="51" spans="1:5" s="4" customFormat="1" ht="17.399999999999999" customHeight="1" thickBot="1" x14ac:dyDescent="0.3">
      <c r="A51" s="3"/>
      <c r="C51" s="68">
        <f>SUM(C48:C50)</f>
        <v>242000</v>
      </c>
      <c r="D51" s="2"/>
      <c r="E51" s="2"/>
    </row>
    <row r="52" spans="1:5" s="4" customFormat="1" ht="17.399999999999999" customHeight="1" thickTop="1" x14ac:dyDescent="0.25">
      <c r="A52" s="3"/>
      <c r="B52" s="245" t="s">
        <v>37</v>
      </c>
    </row>
    <row r="53" spans="1:5" s="4" customFormat="1" ht="17.399999999999999" customHeight="1" x14ac:dyDescent="0.25">
      <c r="A53" s="1"/>
      <c r="B53" s="4" t="s">
        <v>20</v>
      </c>
      <c r="C53" s="14">
        <f>+'504'!D84</f>
        <v>1080838</v>
      </c>
      <c r="D53" s="14"/>
      <c r="E53" s="14"/>
    </row>
    <row r="54" spans="1:5" s="4" customFormat="1" ht="17.399999999999999" customHeight="1" x14ac:dyDescent="0.25">
      <c r="A54" s="1" t="s">
        <v>36</v>
      </c>
      <c r="B54" s="4" t="s">
        <v>39</v>
      </c>
      <c r="C54" s="14">
        <f>+'504'!G88</f>
        <v>150300</v>
      </c>
      <c r="D54" s="1" t="s">
        <v>48</v>
      </c>
      <c r="E54" s="14"/>
    </row>
    <row r="55" spans="1:5" s="4" customFormat="1" ht="17.399999999999999" customHeight="1" x14ac:dyDescent="0.25">
      <c r="A55" s="1" t="s">
        <v>35</v>
      </c>
      <c r="B55" s="4" t="s">
        <v>40</v>
      </c>
      <c r="C55" s="14">
        <f>+'504'!G90*30%</f>
        <v>22545</v>
      </c>
      <c r="D55" s="1" t="s">
        <v>25</v>
      </c>
      <c r="E55" s="14"/>
    </row>
    <row r="56" spans="1:5" s="4" customFormat="1" ht="17.399999999999999" customHeight="1" x14ac:dyDescent="0.25">
      <c r="A56" s="52" t="s">
        <v>42</v>
      </c>
      <c r="B56" s="53" t="s">
        <v>68</v>
      </c>
      <c r="C56" s="14">
        <f>+'504'!G91</f>
        <v>1420000</v>
      </c>
      <c r="D56" s="1" t="s">
        <v>25</v>
      </c>
    </row>
    <row r="57" spans="1:5" s="4" customFormat="1" ht="17.399999999999999" customHeight="1" x14ac:dyDescent="0.3">
      <c r="A57" s="1" t="s">
        <v>41</v>
      </c>
      <c r="B57" s="4" t="s">
        <v>71</v>
      </c>
      <c r="C57" s="14">
        <f>+'504'!G92</f>
        <v>250000</v>
      </c>
      <c r="D57" s="1" t="s">
        <v>48</v>
      </c>
      <c r="E57" s="211" t="s">
        <v>190</v>
      </c>
    </row>
    <row r="58" spans="1:5" s="4" customFormat="1" ht="17.399999999999999" customHeight="1" x14ac:dyDescent="0.3">
      <c r="A58" s="205" t="s">
        <v>161</v>
      </c>
      <c r="B58" s="53" t="s">
        <v>80</v>
      </c>
      <c r="C58" s="59">
        <f>+'504'!D76</f>
        <v>40000</v>
      </c>
      <c r="D58" s="1" t="s">
        <v>47</v>
      </c>
      <c r="E58" s="212" t="s">
        <v>189</v>
      </c>
    </row>
    <row r="59" spans="1:5" s="4" customFormat="1" ht="17.399999999999999" customHeight="1" x14ac:dyDescent="0.3">
      <c r="A59" s="1" t="s">
        <v>185</v>
      </c>
      <c r="B59" s="4" t="s">
        <v>234</v>
      </c>
      <c r="C59" s="158">
        <f>+'504'!G93*100%*-1</f>
        <v>-50000</v>
      </c>
      <c r="D59" s="1" t="s">
        <v>182</v>
      </c>
      <c r="E59" s="213" t="s">
        <v>186</v>
      </c>
    </row>
    <row r="60" spans="1:5" s="4" customFormat="1" ht="17.399999999999999" customHeight="1" x14ac:dyDescent="0.3">
      <c r="A60" s="1" t="s">
        <v>21</v>
      </c>
      <c r="B60" s="4" t="s">
        <v>22</v>
      </c>
      <c r="C60" s="14">
        <f>+'504'!D80</f>
        <v>249480</v>
      </c>
      <c r="D60" s="1" t="s">
        <v>23</v>
      </c>
      <c r="E60" s="209"/>
    </row>
    <row r="61" spans="1:5" s="4" customFormat="1" ht="21.75" customHeight="1" x14ac:dyDescent="0.25">
      <c r="A61" s="1" t="s">
        <v>21</v>
      </c>
      <c r="B61" s="4" t="s">
        <v>24</v>
      </c>
      <c r="C61" s="210">
        <f>(+C51+D51)*-1</f>
        <v>-242000</v>
      </c>
      <c r="D61" s="1" t="s">
        <v>78</v>
      </c>
      <c r="E61" s="14"/>
    </row>
    <row r="62" spans="1:5" s="4" customFormat="1" ht="17.399999999999999" customHeight="1" x14ac:dyDescent="0.25">
      <c r="A62" s="1" t="s">
        <v>83</v>
      </c>
      <c r="B62" s="53" t="s">
        <v>34</v>
      </c>
      <c r="C62" s="206">
        <f>ROUND(+'504'!D79/15*3,0)</f>
        <v>96000</v>
      </c>
      <c r="D62" s="1" t="s">
        <v>25</v>
      </c>
      <c r="E62" s="60"/>
    </row>
    <row r="63" spans="1:5" s="4" customFormat="1" ht="17.399999999999999" customHeight="1" x14ac:dyDescent="0.25">
      <c r="B63" s="64" t="s">
        <v>26</v>
      </c>
      <c r="C63" s="27">
        <f>SUM(C53:C62)</f>
        <v>3017163</v>
      </c>
      <c r="D63" s="14"/>
      <c r="E63" s="65"/>
    </row>
    <row r="64" spans="1:5" s="4" customFormat="1" ht="17.399999999999999" customHeight="1" x14ac:dyDescent="0.25">
      <c r="B64" s="4" t="s">
        <v>86</v>
      </c>
      <c r="C64" s="14">
        <f>+'504'!D78</f>
        <v>5040000</v>
      </c>
      <c r="D64" s="14"/>
      <c r="E64" s="14"/>
    </row>
    <row r="65" spans="1:5" s="4" customFormat="1" ht="17.399999999999999" customHeight="1" thickBot="1" x14ac:dyDescent="0.3">
      <c r="B65" s="4" t="s">
        <v>27</v>
      </c>
      <c r="C65" s="68">
        <f>C64+C63</f>
        <v>8057163</v>
      </c>
      <c r="D65" s="14"/>
      <c r="E65" s="14"/>
    </row>
    <row r="66" spans="1:5" s="4" customFormat="1" ht="17.399999999999999" customHeight="1" thickTop="1" x14ac:dyDescent="0.25">
      <c r="A66" s="246" t="s">
        <v>89</v>
      </c>
      <c r="B66" s="4" t="s">
        <v>90</v>
      </c>
      <c r="C66" s="14">
        <f>300000*0.9</f>
        <v>270000</v>
      </c>
      <c r="D66" s="14"/>
      <c r="E66" s="14"/>
    </row>
    <row r="67" spans="1:5" s="4" customFormat="1" ht="18.75" customHeight="1" x14ac:dyDescent="0.25">
      <c r="B67" s="4" t="s">
        <v>28</v>
      </c>
      <c r="C67" s="14">
        <f>(C65-300000)*0.6</f>
        <v>4654297.8</v>
      </c>
      <c r="D67" s="14"/>
      <c r="E67" s="14"/>
    </row>
    <row r="68" spans="1:5" s="4" customFormat="1" ht="22.5" customHeight="1" thickBot="1" x14ac:dyDescent="0.3">
      <c r="B68" s="4" t="s">
        <v>91</v>
      </c>
      <c r="C68" s="68">
        <f>SUM(C66:C67)</f>
        <v>4924297.8</v>
      </c>
      <c r="D68" s="14"/>
      <c r="E68" s="14"/>
    </row>
    <row r="69" spans="1:5" s="4" customFormat="1" ht="17.399999999999999" customHeight="1" thickTop="1" x14ac:dyDescent="0.25">
      <c r="A69" s="1" t="s">
        <v>83</v>
      </c>
      <c r="B69" s="53" t="s">
        <v>241</v>
      </c>
      <c r="C69" s="207">
        <f>C64-C68</f>
        <v>115702.20000000019</v>
      </c>
      <c r="D69" s="14"/>
      <c r="E69" s="14"/>
    </row>
    <row r="70" spans="1:5" s="4" customFormat="1" ht="17.399999999999999" customHeight="1" x14ac:dyDescent="0.25">
      <c r="A70" s="1"/>
      <c r="B70" s="53"/>
      <c r="C70" s="207"/>
      <c r="D70" s="14"/>
      <c r="E70" s="14"/>
    </row>
    <row r="71" spans="1:5" s="4" customFormat="1" ht="20.25" customHeight="1" x14ac:dyDescent="0.25">
      <c r="A71" s="118"/>
      <c r="B71" s="245" t="s">
        <v>187</v>
      </c>
      <c r="C71" s="1" t="s">
        <v>21</v>
      </c>
      <c r="D71" s="1" t="s">
        <v>192</v>
      </c>
      <c r="E71" s="1" t="s">
        <v>188</v>
      </c>
    </row>
    <row r="72" spans="1:5" s="4" customFormat="1" ht="21" customHeight="1" x14ac:dyDescent="0.25">
      <c r="B72" s="4" t="s">
        <v>194</v>
      </c>
      <c r="C72" s="14">
        <f>+'504'!D79</f>
        <v>480000</v>
      </c>
      <c r="D72" s="4">
        <f>C72/15%*12%</f>
        <v>384000</v>
      </c>
      <c r="E72" s="14">
        <f>C72-D72</f>
        <v>96000</v>
      </c>
    </row>
    <row r="73" spans="1:5" s="4" customFormat="1" ht="20.100000000000001" customHeight="1" x14ac:dyDescent="0.25">
      <c r="B73" s="4" t="s">
        <v>193</v>
      </c>
      <c r="C73" s="14">
        <f>+'504'!D78</f>
        <v>5040000</v>
      </c>
      <c r="D73" s="14">
        <f>+C68</f>
        <v>4924297.8</v>
      </c>
      <c r="E73" s="14">
        <f>C73-D73</f>
        <v>115702.20000000019</v>
      </c>
    </row>
    <row r="74" spans="1:5" s="4" customFormat="1" ht="20.100000000000001" hidden="1" customHeight="1" x14ac:dyDescent="0.25">
      <c r="A74" s="131"/>
      <c r="C74" s="2"/>
      <c r="D74" s="2"/>
      <c r="E74" s="2"/>
    </row>
    <row r="75" spans="1:5" s="4" customFormat="1" ht="20.100000000000001" customHeight="1" thickBot="1" x14ac:dyDescent="0.3">
      <c r="C75" s="2"/>
      <c r="D75" s="2"/>
      <c r="E75" s="208">
        <f>SUM(E72:E74)</f>
        <v>211702.20000000019</v>
      </c>
    </row>
    <row r="76" spans="1:5" s="4" customFormat="1" ht="20.100000000000001" customHeight="1" thickTop="1" x14ac:dyDescent="0.25">
      <c r="C76" s="2"/>
      <c r="D76" s="2"/>
      <c r="E76" s="2"/>
    </row>
    <row r="77" spans="1:5" s="4" customFormat="1" ht="22.5" customHeight="1" x14ac:dyDescent="0.25">
      <c r="C77" s="3"/>
      <c r="D77" s="3"/>
      <c r="E77" s="2"/>
    </row>
    <row r="78" spans="1:5" s="4" customFormat="1" ht="22.5" customHeight="1" x14ac:dyDescent="0.25">
      <c r="C78" s="3"/>
      <c r="D78" s="3"/>
      <c r="E78" s="2"/>
    </row>
    <row r="79" spans="1:5" s="4" customFormat="1" ht="22.5" customHeight="1" x14ac:dyDescent="0.25">
      <c r="C79" s="3"/>
      <c r="D79" s="3"/>
      <c r="E79" s="2"/>
    </row>
    <row r="80" spans="1:5" s="4" customFormat="1" ht="22.5" customHeight="1" x14ac:dyDescent="0.25">
      <c r="C80" s="3"/>
      <c r="D80" s="3"/>
      <c r="E80" s="2"/>
    </row>
    <row r="81" spans="1:5" s="4" customFormat="1" ht="20.100000000000001" customHeight="1" x14ac:dyDescent="0.25"/>
    <row r="82" spans="1:5" s="4" customFormat="1" ht="22.5" customHeight="1" x14ac:dyDescent="0.25">
      <c r="A82" s="1"/>
    </row>
    <row r="83" spans="1:5" s="4" customFormat="1" ht="20.100000000000001" customHeight="1" x14ac:dyDescent="0.25">
      <c r="A83" s="1"/>
    </row>
    <row r="84" spans="1:5" s="4" customFormat="1" ht="20.100000000000001" customHeight="1" x14ac:dyDescent="0.25">
      <c r="A84" s="1"/>
    </row>
    <row r="85" spans="1:5" s="4" customFormat="1" ht="20.100000000000001" customHeight="1" x14ac:dyDescent="0.25">
      <c r="A85" s="1"/>
    </row>
    <row r="86" spans="1:5" s="4" customFormat="1" ht="20.100000000000001" customHeight="1" x14ac:dyDescent="0.25">
      <c r="A86" s="1"/>
    </row>
    <row r="87" spans="1:5" s="4" customFormat="1" ht="20.100000000000001" customHeight="1" x14ac:dyDescent="0.25">
      <c r="A87" s="1"/>
      <c r="C87" s="141"/>
      <c r="D87" s="141"/>
      <c r="E87" s="2"/>
    </row>
    <row r="88" spans="1:5" s="4" customFormat="1" ht="33" customHeight="1" x14ac:dyDescent="0.25">
      <c r="C88" s="141"/>
      <c r="D88" s="141"/>
      <c r="E88" s="2"/>
    </row>
    <row r="89" spans="1:5" s="4" customFormat="1" ht="18.75" customHeight="1" x14ac:dyDescent="0.25">
      <c r="C89" s="2"/>
      <c r="D89" s="2"/>
      <c r="E89" s="2"/>
    </row>
    <row r="90" spans="1:5" s="4" customFormat="1" ht="18" customHeight="1" x14ac:dyDescent="0.25">
      <c r="C90" s="2"/>
      <c r="D90" s="2"/>
      <c r="E90" s="2"/>
    </row>
    <row r="91" spans="1:5" s="4" customFormat="1" ht="20.100000000000001" customHeight="1" x14ac:dyDescent="0.25">
      <c r="C91" s="2"/>
      <c r="D91" s="2"/>
      <c r="E91" s="2"/>
    </row>
    <row r="92" spans="1:5" s="4" customFormat="1" ht="20.100000000000001" customHeight="1" x14ac:dyDescent="0.25">
      <c r="A92" s="1"/>
      <c r="C92" s="2"/>
      <c r="D92" s="2"/>
      <c r="E92" s="2"/>
    </row>
    <row r="93" spans="1:5" s="4" customFormat="1" ht="20.100000000000001" customHeight="1" x14ac:dyDescent="0.25">
      <c r="A93" s="1"/>
      <c r="C93" s="2"/>
      <c r="D93" s="2"/>
      <c r="E93" s="2"/>
    </row>
    <row r="94" spans="1:5" s="4" customFormat="1" ht="20.100000000000001" customHeight="1" x14ac:dyDescent="0.25">
      <c r="A94" s="1"/>
      <c r="C94" s="2"/>
      <c r="D94" s="2"/>
      <c r="E94" s="2"/>
    </row>
    <row r="95" spans="1:5" s="4" customFormat="1" ht="20.100000000000001" customHeight="1" x14ac:dyDescent="0.25">
      <c r="A95" s="3"/>
      <c r="C95" s="2"/>
      <c r="D95" s="2"/>
      <c r="E95" s="2"/>
    </row>
    <row r="96" spans="1:5" s="4" customFormat="1" ht="20.100000000000001" customHeight="1" x14ac:dyDescent="0.25">
      <c r="C96" s="2"/>
      <c r="D96" s="2"/>
      <c r="E96" s="2"/>
    </row>
    <row r="97" spans="1:5" s="4" customFormat="1" ht="20.100000000000001" customHeight="1" x14ac:dyDescent="0.25">
      <c r="A97" s="3"/>
      <c r="C97" s="2"/>
      <c r="D97" s="2"/>
      <c r="E97" s="2"/>
    </row>
    <row r="98" spans="1:5" s="4" customFormat="1" ht="20.100000000000001" customHeight="1" x14ac:dyDescent="0.25">
      <c r="C98" s="2"/>
      <c r="D98" s="2"/>
      <c r="E98" s="2"/>
    </row>
    <row r="99" spans="1:5" s="4" customFormat="1" ht="20.100000000000001" customHeight="1" x14ac:dyDescent="0.25">
      <c r="C99" s="2"/>
      <c r="D99" s="2"/>
      <c r="E99" s="2"/>
    </row>
    <row r="100" spans="1:5" s="4" customFormat="1" ht="20.100000000000001" customHeight="1" x14ac:dyDescent="0.25">
      <c r="C100" s="2"/>
      <c r="D100" s="2"/>
      <c r="E100" s="2"/>
    </row>
    <row r="101" spans="1:5" s="4" customFormat="1" ht="20.100000000000001" customHeight="1" x14ac:dyDescent="0.25">
      <c r="C101" s="2"/>
      <c r="D101" s="2"/>
      <c r="E101" s="2"/>
    </row>
    <row r="102" spans="1:5" s="4" customFormat="1" ht="20.100000000000001" customHeight="1" x14ac:dyDescent="0.25">
      <c r="C102" s="2"/>
      <c r="D102" s="2"/>
      <c r="E102" s="2"/>
    </row>
    <row r="103" spans="1:5" s="4" customFormat="1" ht="20.100000000000001" customHeight="1" x14ac:dyDescent="0.25">
      <c r="C103" s="2"/>
      <c r="D103" s="2"/>
      <c r="E103" s="2"/>
    </row>
    <row r="104" spans="1:5" s="4" customFormat="1" ht="20.100000000000001" customHeight="1" x14ac:dyDescent="0.25">
      <c r="C104" s="2"/>
      <c r="D104" s="2"/>
      <c r="E104" s="2"/>
    </row>
    <row r="105" spans="1:5" s="4" customFormat="1" ht="20.100000000000001" customHeight="1" x14ac:dyDescent="0.25">
      <c r="C105" s="2"/>
      <c r="D105" s="2"/>
      <c r="E105" s="2"/>
    </row>
    <row r="106" spans="1:5" s="4" customFormat="1" ht="20.100000000000001" customHeight="1" x14ac:dyDescent="0.25">
      <c r="C106" s="2"/>
      <c r="D106" s="2"/>
      <c r="E106" s="2"/>
    </row>
    <row r="107" spans="1:5" s="4" customFormat="1" ht="20.100000000000001" customHeight="1" x14ac:dyDescent="0.25">
      <c r="C107" s="2"/>
      <c r="D107" s="2"/>
      <c r="E107" s="2"/>
    </row>
    <row r="108" spans="1:5" s="4" customFormat="1" ht="20.100000000000001" customHeight="1" x14ac:dyDescent="0.25">
      <c r="C108" s="2"/>
      <c r="D108" s="2"/>
      <c r="E108" s="2"/>
    </row>
    <row r="109" spans="1:5" s="4" customFormat="1" ht="20.100000000000001" customHeight="1" x14ac:dyDescent="0.25">
      <c r="C109" s="2"/>
      <c r="D109" s="2"/>
      <c r="E109" s="2"/>
    </row>
    <row r="110" spans="1:5" s="4" customFormat="1" ht="20.100000000000001" customHeight="1" x14ac:dyDescent="0.25">
      <c r="C110" s="2"/>
      <c r="D110" s="2"/>
      <c r="E110" s="2"/>
    </row>
    <row r="111" spans="1:5" s="4" customFormat="1" ht="20.100000000000001" customHeight="1" x14ac:dyDescent="0.25">
      <c r="C111" s="2"/>
      <c r="D111" s="2"/>
      <c r="E111" s="2"/>
    </row>
    <row r="112" spans="1:5" s="4" customFormat="1" ht="20.100000000000001" customHeight="1" x14ac:dyDescent="0.25">
      <c r="C112" s="2"/>
      <c r="D112" s="2"/>
      <c r="E112" s="2"/>
    </row>
    <row r="113" spans="3:5" s="4" customFormat="1" ht="20.100000000000001" customHeight="1" x14ac:dyDescent="0.25">
      <c r="C113" s="2"/>
      <c r="D113" s="2"/>
      <c r="E113" s="2"/>
    </row>
    <row r="114" spans="3:5" s="4" customFormat="1" ht="20.100000000000001" customHeight="1" x14ac:dyDescent="0.25">
      <c r="C114" s="2"/>
      <c r="D114" s="2"/>
      <c r="E114" s="2"/>
    </row>
    <row r="115" spans="3:5" s="4" customFormat="1" ht="20.100000000000001" customHeight="1" x14ac:dyDescent="0.25">
      <c r="C115" s="2"/>
      <c r="D115" s="2"/>
      <c r="E115" s="2"/>
    </row>
    <row r="116" spans="3:5" s="4" customFormat="1" ht="20.100000000000001" customHeight="1" x14ac:dyDescent="0.25">
      <c r="C116" s="2"/>
      <c r="D116" s="2"/>
      <c r="E116" s="2"/>
    </row>
    <row r="117" spans="3:5" s="4" customFormat="1" ht="20.100000000000001" customHeight="1" x14ac:dyDescent="0.25">
      <c r="C117" s="2"/>
      <c r="D117" s="2"/>
      <c r="E117" s="2"/>
    </row>
    <row r="118" spans="3:5" s="4" customFormat="1" ht="20.100000000000001" customHeight="1" x14ac:dyDescent="0.25">
      <c r="C118" s="2"/>
      <c r="D118" s="2"/>
      <c r="E118" s="2"/>
    </row>
    <row r="119" spans="3:5" s="4" customFormat="1" ht="20.100000000000001" customHeight="1" x14ac:dyDescent="0.25">
      <c r="C119" s="2"/>
      <c r="D119" s="2"/>
      <c r="E119" s="2"/>
    </row>
    <row r="120" spans="3:5" s="4" customFormat="1" ht="20.100000000000001" customHeight="1" x14ac:dyDescent="0.25">
      <c r="C120" s="2"/>
      <c r="D120" s="2"/>
      <c r="E120" s="2"/>
    </row>
    <row r="121" spans="3:5" s="4" customFormat="1" ht="20.100000000000001" customHeight="1" x14ac:dyDescent="0.25">
      <c r="C121" s="2"/>
      <c r="D121" s="2"/>
      <c r="E121" s="2"/>
    </row>
    <row r="122" spans="3:5" s="4" customFormat="1" ht="20.100000000000001" customHeight="1" x14ac:dyDescent="0.25">
      <c r="C122" s="2"/>
      <c r="D122" s="2"/>
      <c r="E122" s="2"/>
    </row>
    <row r="123" spans="3:5" s="4" customFormat="1" ht="20.100000000000001" customHeight="1" x14ac:dyDescent="0.25">
      <c r="C123" s="2"/>
      <c r="D123" s="2"/>
      <c r="E123" s="2"/>
    </row>
    <row r="124" spans="3:5" s="4" customFormat="1" ht="20.100000000000001" customHeight="1" x14ac:dyDescent="0.25">
      <c r="C124" s="2"/>
      <c r="D124" s="2"/>
      <c r="E124" s="2"/>
    </row>
    <row r="125" spans="3:5" s="4" customFormat="1" ht="20.100000000000001" customHeight="1" x14ac:dyDescent="0.25">
      <c r="C125" s="2"/>
      <c r="D125" s="2"/>
      <c r="E125" s="2"/>
    </row>
    <row r="126" spans="3:5" s="4" customFormat="1" ht="20.100000000000001" customHeight="1" x14ac:dyDescent="0.25">
      <c r="C126" s="2"/>
      <c r="D126" s="2"/>
      <c r="E126" s="2"/>
    </row>
    <row r="127" spans="3:5" s="4" customFormat="1" ht="20.100000000000001" customHeight="1" x14ac:dyDescent="0.25">
      <c r="C127" s="2"/>
      <c r="D127" s="2"/>
      <c r="E127" s="2"/>
    </row>
    <row r="128" spans="3:5" s="4" customFormat="1" ht="20.100000000000001" customHeight="1" x14ac:dyDescent="0.25">
      <c r="C128" s="2"/>
      <c r="D128" s="2"/>
      <c r="E128" s="2"/>
    </row>
    <row r="129" spans="3:5" s="4" customFormat="1" ht="20.100000000000001" customHeight="1" x14ac:dyDescent="0.25">
      <c r="C129" s="2"/>
      <c r="D129" s="2"/>
      <c r="E129" s="2"/>
    </row>
  </sheetData>
  <mergeCells count="5">
    <mergeCell ref="B14:C14"/>
    <mergeCell ref="A1:E1"/>
    <mergeCell ref="A2:E2"/>
    <mergeCell ref="A3:E3"/>
    <mergeCell ref="A4:E4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504</vt:lpstr>
      <vt:lpstr>ITR-3 (Partner)</vt:lpstr>
      <vt:lpstr>Sol-504</vt:lpstr>
      <vt:lpstr>'504'!Print_Area</vt:lpstr>
      <vt:lpstr>'ITR-3 (Partner)'!Print_Area</vt:lpstr>
      <vt:lpstr>'Sol-504'!Print_Area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Tax Doctor</cp:lastModifiedBy>
  <cp:lastPrinted>2022-04-14T18:12:32Z</cp:lastPrinted>
  <dcterms:created xsi:type="dcterms:W3CDTF">2020-11-25T18:59:50Z</dcterms:created>
  <dcterms:modified xsi:type="dcterms:W3CDTF">2022-04-14T18:12:37Z</dcterms:modified>
</cp:coreProperties>
</file>